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codeName="ThisWorkbook"/>
  <bookViews>
    <workbookView xWindow="-285" yWindow="-15" windowWidth="15480" windowHeight="8835" tabRatio="604"/>
  </bookViews>
  <sheets>
    <sheet name="Price List 18 October 2012" sheetId="6" r:id="rId1"/>
    <sheet name="Order Form" sheetId="4" r:id="rId2"/>
  </sheets>
  <externalReferences>
    <externalReference r:id="rId3"/>
  </externalReferences>
  <definedNames>
    <definedName name="_xlnm._FilterDatabase" localSheetId="0" hidden="1">'Price List 18 October 2012'!$A$19:$P$213</definedName>
    <definedName name="_xlnm.Print_Area" localSheetId="1">'Order Form'!$A$1:$H$81</definedName>
    <definedName name="_xlnm.Print_Area" localSheetId="0">'Price List 18 October 2012'!$A$1:$P$220</definedName>
    <definedName name="_xlnm.Print_Titles" localSheetId="0">'Price List 18 October 2012'!$1:$19</definedName>
    <definedName name="Product_Table">'[1]Product Table'!$A$1:$I$57</definedName>
    <definedName name="walkincenters">'Order Form'!$G$16</definedName>
  </definedNames>
  <calcPr calcId="124519" fullCalcOnLoad="1"/>
</workbook>
</file>

<file path=xl/calcChain.xml><?xml version="1.0" encoding="utf-8"?>
<calcChain xmlns="http://schemas.openxmlformats.org/spreadsheetml/2006/main">
  <c r="J121" i="6"/>
  <c r="J122"/>
  <c r="J123"/>
  <c r="J124"/>
  <c r="J125"/>
  <c r="H121"/>
  <c r="H122"/>
  <c r="H123"/>
  <c r="H124"/>
  <c r="H125"/>
  <c r="I118"/>
  <c r="I119"/>
  <c r="I120"/>
  <c r="I121"/>
  <c r="I122"/>
  <c r="I123"/>
  <c r="I124"/>
  <c r="I125"/>
  <c r="H120"/>
  <c r="O120"/>
  <c r="J120"/>
  <c r="J119"/>
  <c r="H119"/>
  <c r="H155"/>
  <c r="J139"/>
  <c r="I139"/>
  <c r="H139"/>
  <c r="M139"/>
  <c r="J108"/>
  <c r="K108"/>
  <c r="J109"/>
  <c r="K109"/>
  <c r="J110"/>
  <c r="J111"/>
  <c r="J112"/>
  <c r="J113"/>
  <c r="J114"/>
  <c r="J115"/>
  <c r="I110"/>
  <c r="I111"/>
  <c r="I112"/>
  <c r="I113"/>
  <c r="I114"/>
  <c r="I115"/>
  <c r="H110"/>
  <c r="O110"/>
  <c r="H111"/>
  <c r="M111"/>
  <c r="H112"/>
  <c r="H113"/>
  <c r="H114"/>
  <c r="H115"/>
  <c r="J34"/>
  <c r="J35"/>
  <c r="J36"/>
  <c r="J37"/>
  <c r="J38"/>
  <c r="J39"/>
  <c r="I34"/>
  <c r="I35"/>
  <c r="I36"/>
  <c r="I37"/>
  <c r="I38"/>
  <c r="I39"/>
  <c r="H35"/>
  <c r="H36"/>
  <c r="H37"/>
  <c r="H38"/>
  <c r="H39"/>
  <c r="J142"/>
  <c r="I142"/>
  <c r="H142"/>
  <c r="J182"/>
  <c r="J183"/>
  <c r="J184"/>
  <c r="J185"/>
  <c r="N185"/>
  <c r="J186"/>
  <c r="I182"/>
  <c r="I183"/>
  <c r="I184"/>
  <c r="I185"/>
  <c r="I186"/>
  <c r="H181"/>
  <c r="H182"/>
  <c r="H183"/>
  <c r="H184"/>
  <c r="H185"/>
  <c r="H186"/>
  <c r="H180"/>
  <c r="I181"/>
  <c r="J181"/>
  <c r="I180"/>
  <c r="J180"/>
  <c r="I22"/>
  <c r="H22"/>
  <c r="H23"/>
  <c r="H24"/>
  <c r="H25"/>
  <c r="J22"/>
  <c r="I23"/>
  <c r="J23"/>
  <c r="I24"/>
  <c r="J24"/>
  <c r="I25"/>
  <c r="J25"/>
  <c r="H26"/>
  <c r="I26"/>
  <c r="J26"/>
  <c r="H27"/>
  <c r="I27"/>
  <c r="J27"/>
  <c r="I140"/>
  <c r="J140"/>
  <c r="J174"/>
  <c r="J175"/>
  <c r="I174"/>
  <c r="H140"/>
  <c r="O140"/>
  <c r="H174"/>
  <c r="H78"/>
  <c r="J78"/>
  <c r="H67"/>
  <c r="J67"/>
  <c r="H68"/>
  <c r="J68"/>
  <c r="H66"/>
  <c r="J66"/>
  <c r="H220"/>
  <c r="I220"/>
  <c r="J220"/>
  <c r="O220"/>
  <c r="H219"/>
  <c r="I219"/>
  <c r="J219"/>
  <c r="H218"/>
  <c r="I218"/>
  <c r="J218"/>
  <c r="H217"/>
  <c r="I217"/>
  <c r="J217"/>
  <c r="H216"/>
  <c r="I216"/>
  <c r="J216"/>
  <c r="H215"/>
  <c r="I215"/>
  <c r="J215"/>
  <c r="H214"/>
  <c r="N214"/>
  <c r="I214"/>
  <c r="J214"/>
  <c r="H213"/>
  <c r="I213"/>
  <c r="J213"/>
  <c r="H212"/>
  <c r="I212"/>
  <c r="J212"/>
  <c r="H211"/>
  <c r="I211"/>
  <c r="J211"/>
  <c r="H209"/>
  <c r="I209"/>
  <c r="J209"/>
  <c r="H208"/>
  <c r="I208"/>
  <c r="J208"/>
  <c r="H206"/>
  <c r="I206"/>
  <c r="J206"/>
  <c r="H205"/>
  <c r="I205"/>
  <c r="J205"/>
  <c r="H204"/>
  <c r="M204"/>
  <c r="I204"/>
  <c r="J204"/>
  <c r="H203"/>
  <c r="I203"/>
  <c r="J203"/>
  <c r="H202"/>
  <c r="I202"/>
  <c r="J202"/>
  <c r="H201"/>
  <c r="I201"/>
  <c r="J201"/>
  <c r="H200"/>
  <c r="I200"/>
  <c r="J200"/>
  <c r="H199"/>
  <c r="I199"/>
  <c r="J199"/>
  <c r="H198"/>
  <c r="I198"/>
  <c r="J198"/>
  <c r="H197"/>
  <c r="I197"/>
  <c r="J197"/>
  <c r="H196"/>
  <c r="I196"/>
  <c r="J196"/>
  <c r="H195"/>
  <c r="O195"/>
  <c r="I195"/>
  <c r="J195"/>
  <c r="H194"/>
  <c r="I194"/>
  <c r="J194"/>
  <c r="H193"/>
  <c r="I193"/>
  <c r="J193"/>
  <c r="H192"/>
  <c r="I192"/>
  <c r="J192"/>
  <c r="H191"/>
  <c r="I191"/>
  <c r="J191"/>
  <c r="H190"/>
  <c r="I190"/>
  <c r="J190"/>
  <c r="P190"/>
  <c r="H189"/>
  <c r="I189"/>
  <c r="J189"/>
  <c r="H188"/>
  <c r="I188"/>
  <c r="J188"/>
  <c r="H187"/>
  <c r="I187"/>
  <c r="J187"/>
  <c r="H179"/>
  <c r="I179"/>
  <c r="J179"/>
  <c r="J178"/>
  <c r="O178"/>
  <c r="H177"/>
  <c r="I177"/>
  <c r="J177"/>
  <c r="H176"/>
  <c r="I176"/>
  <c r="J176"/>
  <c r="H175"/>
  <c r="I175"/>
  <c r="H169"/>
  <c r="I169"/>
  <c r="J169"/>
  <c r="H168"/>
  <c r="I168"/>
  <c r="J168"/>
  <c r="P168"/>
  <c r="H166"/>
  <c r="I166"/>
  <c r="J166"/>
  <c r="H165"/>
  <c r="I165"/>
  <c r="J165"/>
  <c r="H164"/>
  <c r="I164"/>
  <c r="J164"/>
  <c r="H163"/>
  <c r="I163"/>
  <c r="J163"/>
  <c r="P163"/>
  <c r="H162"/>
  <c r="M162"/>
  <c r="I162"/>
  <c r="J162"/>
  <c r="H160"/>
  <c r="I160"/>
  <c r="J160"/>
  <c r="H158"/>
  <c r="I158"/>
  <c r="J158"/>
  <c r="H157"/>
  <c r="I157"/>
  <c r="J157"/>
  <c r="H156"/>
  <c r="I156"/>
  <c r="J156"/>
  <c r="I155"/>
  <c r="J155"/>
  <c r="H154"/>
  <c r="I154"/>
  <c r="J154"/>
  <c r="H153"/>
  <c r="I153"/>
  <c r="J153"/>
  <c r="H152"/>
  <c r="O152"/>
  <c r="I152"/>
  <c r="J152"/>
  <c r="H151"/>
  <c r="I151"/>
  <c r="J151"/>
  <c r="H150"/>
  <c r="I150"/>
  <c r="J150"/>
  <c r="H149"/>
  <c r="I149"/>
  <c r="J149"/>
  <c r="H148"/>
  <c r="M148"/>
  <c r="I148"/>
  <c r="J148"/>
  <c r="H147"/>
  <c r="I147"/>
  <c r="J147"/>
  <c r="H146"/>
  <c r="I146"/>
  <c r="J146"/>
  <c r="P146"/>
  <c r="H145"/>
  <c r="O145"/>
  <c r="I145"/>
  <c r="J145"/>
  <c r="H144"/>
  <c r="I144"/>
  <c r="J144"/>
  <c r="H143"/>
  <c r="I143"/>
  <c r="J143"/>
  <c r="N143"/>
  <c r="H141"/>
  <c r="I141"/>
  <c r="J141"/>
  <c r="M141"/>
  <c r="H137"/>
  <c r="I137"/>
  <c r="J137"/>
  <c r="H136"/>
  <c r="N136"/>
  <c r="I136"/>
  <c r="J136"/>
  <c r="H135"/>
  <c r="I135"/>
  <c r="J135"/>
  <c r="H134"/>
  <c r="I134"/>
  <c r="J134"/>
  <c r="H133"/>
  <c r="I133"/>
  <c r="J133"/>
  <c r="H130"/>
  <c r="N130"/>
  <c r="I130"/>
  <c r="J130"/>
  <c r="H129"/>
  <c r="I129"/>
  <c r="J129"/>
  <c r="H128"/>
  <c r="I128"/>
  <c r="J128"/>
  <c r="H127"/>
  <c r="I127"/>
  <c r="J127"/>
  <c r="H118"/>
  <c r="J118"/>
  <c r="H117"/>
  <c r="I117"/>
  <c r="J117"/>
  <c r="H107"/>
  <c r="I107"/>
  <c r="J107"/>
  <c r="H106"/>
  <c r="I106"/>
  <c r="J106"/>
  <c r="H105"/>
  <c r="I105"/>
  <c r="J105"/>
  <c r="H104"/>
  <c r="I104"/>
  <c r="J104"/>
  <c r="H102"/>
  <c r="I102"/>
  <c r="J102"/>
  <c r="H101"/>
  <c r="I101"/>
  <c r="J101"/>
  <c r="H99"/>
  <c r="I99"/>
  <c r="J99"/>
  <c r="H98"/>
  <c r="I98"/>
  <c r="J98"/>
  <c r="H97"/>
  <c r="I97"/>
  <c r="J97"/>
  <c r="H96"/>
  <c r="I96"/>
  <c r="J96"/>
  <c r="H94"/>
  <c r="I94"/>
  <c r="J94"/>
  <c r="H93"/>
  <c r="I93"/>
  <c r="J93"/>
  <c r="H92"/>
  <c r="I92"/>
  <c r="J92"/>
  <c r="H91"/>
  <c r="I91"/>
  <c r="J91"/>
  <c r="H90"/>
  <c r="I90"/>
  <c r="J90"/>
  <c r="H89"/>
  <c r="I89"/>
  <c r="J89"/>
  <c r="H88"/>
  <c r="I88"/>
  <c r="J88"/>
  <c r="H87"/>
  <c r="I87"/>
  <c r="J87"/>
  <c r="H86"/>
  <c r="I86"/>
  <c r="J86"/>
  <c r="H85"/>
  <c r="I85"/>
  <c r="J85"/>
  <c r="H84"/>
  <c r="I84"/>
  <c r="J84"/>
  <c r="H83"/>
  <c r="I83"/>
  <c r="J83"/>
  <c r="H82"/>
  <c r="I82"/>
  <c r="J82"/>
  <c r="H81"/>
  <c r="I81"/>
  <c r="J81"/>
  <c r="I78"/>
  <c r="H77"/>
  <c r="I77"/>
  <c r="J77"/>
  <c r="H76"/>
  <c r="I76"/>
  <c r="J76"/>
  <c r="H75"/>
  <c r="I75"/>
  <c r="J75"/>
  <c r="H74"/>
  <c r="I74"/>
  <c r="J74"/>
  <c r="H73"/>
  <c r="I73"/>
  <c r="J73"/>
  <c r="H72"/>
  <c r="I72"/>
  <c r="J72"/>
  <c r="H71"/>
  <c r="I71"/>
  <c r="J71"/>
  <c r="H69"/>
  <c r="I69"/>
  <c r="J69"/>
  <c r="I68"/>
  <c r="I67"/>
  <c r="I66"/>
  <c r="H64"/>
  <c r="I64"/>
  <c r="J64"/>
  <c r="H63"/>
  <c r="I63"/>
  <c r="J63"/>
  <c r="H62"/>
  <c r="I62"/>
  <c r="J62"/>
  <c r="H61"/>
  <c r="I61"/>
  <c r="J61"/>
  <c r="H60"/>
  <c r="I60"/>
  <c r="J60"/>
  <c r="H59"/>
  <c r="I59"/>
  <c r="J59"/>
  <c r="H58"/>
  <c r="I58"/>
  <c r="J58"/>
  <c r="H57"/>
  <c r="I57"/>
  <c r="J57"/>
  <c r="H56"/>
  <c r="I56"/>
  <c r="J56"/>
  <c r="H55"/>
  <c r="I55"/>
  <c r="J55"/>
  <c r="H54"/>
  <c r="I54"/>
  <c r="J54"/>
  <c r="H53"/>
  <c r="I53"/>
  <c r="J53"/>
  <c r="H52"/>
  <c r="I52"/>
  <c r="J52"/>
  <c r="H51"/>
  <c r="I51"/>
  <c r="J51"/>
  <c r="H50"/>
  <c r="I50"/>
  <c r="J50"/>
  <c r="H49"/>
  <c r="I49"/>
  <c r="J49"/>
  <c r="H48"/>
  <c r="I48"/>
  <c r="J48"/>
  <c r="H45"/>
  <c r="I45"/>
  <c r="J45"/>
  <c r="H44"/>
  <c r="I44"/>
  <c r="J44"/>
  <c r="H43"/>
  <c r="I43"/>
  <c r="J43"/>
  <c r="H42"/>
  <c r="I42"/>
  <c r="J42"/>
  <c r="H41"/>
  <c r="I41"/>
  <c r="J41"/>
  <c r="H33"/>
  <c r="I33"/>
  <c r="J33"/>
  <c r="H32"/>
  <c r="I32"/>
  <c r="J32"/>
  <c r="H31"/>
  <c r="I31"/>
  <c r="J31"/>
  <c r="H30"/>
  <c r="I30"/>
  <c r="J30"/>
  <c r="H29"/>
  <c r="I29"/>
  <c r="J29"/>
  <c r="H28"/>
  <c r="I28"/>
  <c r="J28"/>
  <c r="I171"/>
  <c r="K171"/>
  <c r="J171"/>
  <c r="M171"/>
  <c r="F16" i="4"/>
  <c r="J172" i="6"/>
  <c r="O172"/>
  <c r="E30" i="4"/>
  <c r="G30" s="1"/>
  <c r="I30"/>
  <c r="K30" s="1"/>
  <c r="F30"/>
  <c r="H30" s="1"/>
  <c r="I31"/>
  <c r="K31" s="1"/>
  <c r="F31"/>
  <c r="H31" s="1"/>
  <c r="F32"/>
  <c r="H32"/>
  <c r="F33"/>
  <c r="H33"/>
  <c r="F34"/>
  <c r="H34"/>
  <c r="F35"/>
  <c r="H35"/>
  <c r="F36"/>
  <c r="H36"/>
  <c r="F37"/>
  <c r="H37"/>
  <c r="F38"/>
  <c r="H38"/>
  <c r="F39"/>
  <c r="H39"/>
  <c r="F40"/>
  <c r="H40"/>
  <c r="H41"/>
  <c r="J31"/>
  <c r="L31"/>
  <c r="L28"/>
  <c r="I32"/>
  <c r="K32"/>
  <c r="I33"/>
  <c r="K33"/>
  <c r="I34"/>
  <c r="K34"/>
  <c r="I35"/>
  <c r="K35"/>
  <c r="I36"/>
  <c r="K36"/>
  <c r="I37"/>
  <c r="K37"/>
  <c r="I38"/>
  <c r="K38"/>
  <c r="I39"/>
  <c r="K39"/>
  <c r="I40"/>
  <c r="K40"/>
  <c r="I41"/>
  <c r="J33"/>
  <c r="J34"/>
  <c r="J36"/>
  <c r="J37"/>
  <c r="J38"/>
  <c r="J39"/>
  <c r="J40"/>
  <c r="F41"/>
  <c r="K41"/>
  <c r="J41"/>
  <c r="L41"/>
  <c r="I42"/>
  <c r="F42"/>
  <c r="H42"/>
  <c r="K42"/>
  <c r="J42"/>
  <c r="L42"/>
  <c r="I43"/>
  <c r="F43"/>
  <c r="H43"/>
  <c r="K43"/>
  <c r="J43"/>
  <c r="L43"/>
  <c r="I44"/>
  <c r="F44"/>
  <c r="H44"/>
  <c r="K44"/>
  <c r="J44"/>
  <c r="L44"/>
  <c r="I45"/>
  <c r="F45"/>
  <c r="H45"/>
  <c r="K45"/>
  <c r="J45"/>
  <c r="L45"/>
  <c r="I46"/>
  <c r="F46"/>
  <c r="H46"/>
  <c r="K46"/>
  <c r="J46"/>
  <c r="L46"/>
  <c r="I47"/>
  <c r="F47"/>
  <c r="H47"/>
  <c r="K47"/>
  <c r="J47"/>
  <c r="L47"/>
  <c r="I48"/>
  <c r="F48"/>
  <c r="H48"/>
  <c r="K48"/>
  <c r="J48"/>
  <c r="L48"/>
  <c r="I49"/>
  <c r="F49"/>
  <c r="H49"/>
  <c r="K49"/>
  <c r="J49"/>
  <c r="L49"/>
  <c r="I50"/>
  <c r="F50"/>
  <c r="H50"/>
  <c r="K50"/>
  <c r="J50"/>
  <c r="L50"/>
  <c r="I51"/>
  <c r="F51"/>
  <c r="H51"/>
  <c r="K51"/>
  <c r="J51"/>
  <c r="L51"/>
  <c r="I52"/>
  <c r="F52"/>
  <c r="H52"/>
  <c r="K52"/>
  <c r="J52"/>
  <c r="L52"/>
  <c r="I53"/>
  <c r="F53"/>
  <c r="H53"/>
  <c r="K53"/>
  <c r="J53"/>
  <c r="L53"/>
  <c r="I54"/>
  <c r="F54"/>
  <c r="H54"/>
  <c r="K54"/>
  <c r="J54"/>
  <c r="L54"/>
  <c r="I55"/>
  <c r="K55"/>
  <c r="F55"/>
  <c r="H55"/>
  <c r="J55"/>
  <c r="L55"/>
  <c r="I56"/>
  <c r="F56"/>
  <c r="H56"/>
  <c r="K56"/>
  <c r="J56"/>
  <c r="L56"/>
  <c r="I57"/>
  <c r="F57"/>
  <c r="H57"/>
  <c r="K57"/>
  <c r="L57"/>
  <c r="I58"/>
  <c r="F58"/>
  <c r="H58"/>
  <c r="K58"/>
  <c r="L58"/>
  <c r="I59"/>
  <c r="F59"/>
  <c r="H59"/>
  <c r="K59"/>
  <c r="L59"/>
  <c r="I172" i="6"/>
  <c r="K172"/>
  <c r="C31" i="4"/>
  <c r="F17"/>
  <c r="E42"/>
  <c r="G42"/>
  <c r="J59"/>
  <c r="J58"/>
  <c r="J57"/>
  <c r="J35"/>
  <c r="J30"/>
  <c r="L30" s="1"/>
  <c r="L60" s="1"/>
  <c r="H62" s="1"/>
  <c r="J32"/>
  <c r="E58"/>
  <c r="G58"/>
  <c r="C58"/>
  <c r="E57"/>
  <c r="G57"/>
  <c r="C57"/>
  <c r="E56"/>
  <c r="G56"/>
  <c r="C56"/>
  <c r="E55"/>
  <c r="G55"/>
  <c r="C55"/>
  <c r="E54"/>
  <c r="G54"/>
  <c r="C54"/>
  <c r="E53"/>
  <c r="G53"/>
  <c r="C53"/>
  <c r="E52"/>
  <c r="G52"/>
  <c r="C52"/>
  <c r="E51"/>
  <c r="G51"/>
  <c r="C51"/>
  <c r="E50"/>
  <c r="G50"/>
  <c r="C50"/>
  <c r="E49"/>
  <c r="G49"/>
  <c r="C49"/>
  <c r="E48"/>
  <c r="G48"/>
  <c r="C48"/>
  <c r="E47"/>
  <c r="G47"/>
  <c r="C47"/>
  <c r="E46"/>
  <c r="G46"/>
  <c r="C46"/>
  <c r="E45"/>
  <c r="G45"/>
  <c r="C45"/>
  <c r="E44"/>
  <c r="G44"/>
  <c r="C44"/>
  <c r="E43"/>
  <c r="G43"/>
  <c r="C43"/>
  <c r="C42"/>
  <c r="E41"/>
  <c r="G41"/>
  <c r="C41"/>
  <c r="E40"/>
  <c r="G40"/>
  <c r="C40"/>
  <c r="E39"/>
  <c r="G39"/>
  <c r="C39"/>
  <c r="E38"/>
  <c r="G38"/>
  <c r="C38"/>
  <c r="E37"/>
  <c r="G37"/>
  <c r="C37"/>
  <c r="E36"/>
  <c r="G36"/>
  <c r="C36"/>
  <c r="E35"/>
  <c r="G35"/>
  <c r="C35"/>
  <c r="E34"/>
  <c r="G34"/>
  <c r="C34"/>
  <c r="E33"/>
  <c r="G33"/>
  <c r="C33"/>
  <c r="E32"/>
  <c r="G32"/>
  <c r="C32"/>
  <c r="E31"/>
  <c r="G31" s="1"/>
  <c r="G59"/>
  <c r="C30"/>
  <c r="C59"/>
  <c r="E59"/>
  <c r="H11"/>
  <c r="L34"/>
  <c r="M178" i="6"/>
  <c r="L39" i="4"/>
  <c r="L37"/>
  <c r="L36"/>
  <c r="L40"/>
  <c r="L33"/>
  <c r="L38"/>
  <c r="L35"/>
  <c r="L32"/>
  <c r="K144" i="6"/>
  <c r="N67"/>
  <c r="P183"/>
  <c r="P186"/>
  <c r="O39"/>
  <c r="O35"/>
  <c r="P123"/>
  <c r="M180"/>
  <c r="M112"/>
  <c r="O31"/>
  <c r="P48"/>
  <c r="N52"/>
  <c r="N69"/>
  <c r="N74"/>
  <c r="M76"/>
  <c r="M82"/>
  <c r="M92"/>
  <c r="P97"/>
  <c r="O30"/>
  <c r="K43"/>
  <c r="L43"/>
  <c r="K44"/>
  <c r="L44"/>
  <c r="P55"/>
  <c r="K62"/>
  <c r="L62"/>
  <c r="O118"/>
  <c r="K165"/>
  <c r="P76"/>
  <c r="P172"/>
  <c r="N180"/>
  <c r="O29"/>
  <c r="P33"/>
  <c r="O42"/>
  <c r="O44"/>
  <c r="N48"/>
  <c r="N50"/>
  <c r="P52"/>
  <c r="M54"/>
  <c r="P62"/>
  <c r="O64"/>
  <c r="M69"/>
  <c r="O72"/>
  <c r="P74"/>
  <c r="O82"/>
  <c r="O84"/>
  <c r="O88"/>
  <c r="P92"/>
  <c r="K94"/>
  <c r="L94"/>
  <c r="N97"/>
  <c r="P102"/>
  <c r="N105"/>
  <c r="N112"/>
  <c r="M48"/>
  <c r="P180"/>
  <c r="M44"/>
  <c r="P105"/>
  <c r="P69"/>
  <c r="N35"/>
  <c r="N88"/>
  <c r="P147"/>
  <c r="P206"/>
  <c r="N216"/>
  <c r="P78"/>
  <c r="P22"/>
  <c r="N184"/>
  <c r="O36"/>
  <c r="K82"/>
  <c r="L82"/>
  <c r="M52"/>
  <c r="N33"/>
  <c r="O67"/>
  <c r="O69"/>
  <c r="K105"/>
  <c r="L105"/>
  <c r="N44"/>
  <c r="N39"/>
  <c r="M35"/>
  <c r="N172"/>
  <c r="P28"/>
  <c r="P30"/>
  <c r="K31"/>
  <c r="L31"/>
  <c r="M32"/>
  <c r="M41"/>
  <c r="K42"/>
  <c r="L42"/>
  <c r="O43"/>
  <c r="O45"/>
  <c r="K49"/>
  <c r="L49"/>
  <c r="M51"/>
  <c r="O53"/>
  <c r="M55"/>
  <c r="M57"/>
  <c r="M71"/>
  <c r="N73"/>
  <c r="K76"/>
  <c r="L76"/>
  <c r="M77"/>
  <c r="N81"/>
  <c r="P83"/>
  <c r="K84"/>
  <c r="L84"/>
  <c r="K88"/>
  <c r="L88"/>
  <c r="P91"/>
  <c r="K92"/>
  <c r="L92"/>
  <c r="N93"/>
  <c r="K97"/>
  <c r="L97"/>
  <c r="M98"/>
  <c r="K102"/>
  <c r="L102"/>
  <c r="O104"/>
  <c r="O117"/>
  <c r="O22"/>
  <c r="M186"/>
  <c r="P35"/>
  <c r="K30"/>
  <c r="L30"/>
  <c r="K64"/>
  <c r="L64"/>
  <c r="N76"/>
  <c r="N82"/>
  <c r="N84"/>
  <c r="M86"/>
  <c r="P88"/>
  <c r="N92"/>
  <c r="O94"/>
  <c r="K96"/>
  <c r="L96"/>
  <c r="O97"/>
  <c r="P99"/>
  <c r="N102"/>
  <c r="O105"/>
  <c r="N118"/>
  <c r="P128"/>
  <c r="O141"/>
  <c r="N146"/>
  <c r="O150"/>
  <c r="N152"/>
  <c r="N157"/>
  <c r="K160"/>
  <c r="M163"/>
  <c r="K164"/>
  <c r="M165"/>
  <c r="N195"/>
  <c r="M197"/>
  <c r="M201"/>
  <c r="P205"/>
  <c r="P208"/>
  <c r="P213"/>
  <c r="M219"/>
  <c r="P23"/>
  <c r="K180"/>
  <c r="O186"/>
  <c r="O182"/>
  <c r="K184"/>
  <c r="N142"/>
  <c r="M38"/>
  <c r="K39"/>
  <c r="L39"/>
  <c r="O37"/>
  <c r="P120"/>
  <c r="M151"/>
  <c r="M158"/>
  <c r="O179"/>
  <c r="N198"/>
  <c r="O200"/>
  <c r="K202"/>
  <c r="P214"/>
  <c r="N27"/>
  <c r="M24"/>
  <c r="K183"/>
  <c r="K34"/>
  <c r="O180"/>
  <c r="O184"/>
  <c r="O93"/>
  <c r="M172"/>
  <c r="N66"/>
  <c r="P67"/>
  <c r="P139"/>
  <c r="N55"/>
  <c r="K51"/>
  <c r="L51"/>
  <c r="K219"/>
  <c r="N205"/>
  <c r="N77"/>
  <c r="O68"/>
  <c r="K185"/>
  <c r="N37"/>
  <c r="K38"/>
  <c r="L38"/>
  <c r="K139"/>
  <c r="N139"/>
  <c r="O81"/>
  <c r="P64"/>
  <c r="P54"/>
  <c r="K98"/>
  <c r="L98"/>
  <c r="P94"/>
  <c r="N94"/>
  <c r="M104"/>
  <c r="O92"/>
  <c r="M62"/>
  <c r="O62"/>
  <c r="M202"/>
  <c r="K77"/>
  <c r="L77"/>
  <c r="K28"/>
  <c r="L28"/>
  <c r="M99"/>
  <c r="O99"/>
  <c r="M50"/>
  <c r="K81"/>
  <c r="L81"/>
  <c r="M36"/>
  <c r="M182"/>
  <c r="P29"/>
  <c r="P130"/>
  <c r="O134"/>
  <c r="K141"/>
  <c r="O144"/>
  <c r="N150"/>
  <c r="P152"/>
  <c r="N154"/>
  <c r="O163"/>
  <c r="N168"/>
  <c r="K176"/>
  <c r="N187"/>
  <c r="N189"/>
  <c r="P195"/>
  <c r="K196"/>
  <c r="O197"/>
  <c r="P201"/>
  <c r="P211"/>
  <c r="O213"/>
  <c r="M215"/>
  <c r="O217"/>
  <c r="P219"/>
  <c r="K27"/>
  <c r="L27"/>
  <c r="N26"/>
  <c r="K24"/>
  <c r="L24"/>
  <c r="O139"/>
  <c r="O71"/>
  <c r="P171"/>
  <c r="K78"/>
  <c r="L78"/>
  <c r="P111"/>
  <c r="M184"/>
  <c r="P81"/>
  <c r="N64"/>
  <c r="P44"/>
  <c r="M97"/>
  <c r="P32"/>
  <c r="O77"/>
  <c r="O28"/>
  <c r="M43"/>
  <c r="K29"/>
  <c r="L29"/>
  <c r="M88"/>
  <c r="O27"/>
  <c r="O98"/>
  <c r="M29"/>
  <c r="N31"/>
  <c r="M42"/>
  <c r="K54"/>
  <c r="L54"/>
  <c r="N56"/>
  <c r="N62"/>
  <c r="M64"/>
  <c r="O74"/>
  <c r="P82"/>
  <c r="K90"/>
  <c r="L90"/>
  <c r="M102"/>
  <c r="M118"/>
  <c r="O112"/>
  <c r="M181"/>
  <c r="P181"/>
  <c r="N59"/>
  <c r="O59"/>
  <c r="P61"/>
  <c r="N63"/>
  <c r="O63"/>
  <c r="N75"/>
  <c r="P75"/>
  <c r="O83"/>
  <c r="N85"/>
  <c r="K85"/>
  <c r="L85"/>
  <c r="N87"/>
  <c r="P87"/>
  <c r="O89"/>
  <c r="N89"/>
  <c r="K89"/>
  <c r="L89"/>
  <c r="P96"/>
  <c r="O96"/>
  <c r="M101"/>
  <c r="O101"/>
  <c r="P101"/>
  <c r="N128"/>
  <c r="M128"/>
  <c r="M157"/>
  <c r="P157"/>
  <c r="N178"/>
  <c r="K178"/>
  <c r="N191"/>
  <c r="P191"/>
  <c r="P199"/>
  <c r="M199"/>
  <c r="P203"/>
  <c r="O203"/>
  <c r="M205"/>
  <c r="O205"/>
  <c r="N208"/>
  <c r="M208"/>
  <c r="O199"/>
  <c r="N71"/>
  <c r="K154"/>
  <c r="M117"/>
  <c r="K63"/>
  <c r="L63"/>
  <c r="O55"/>
  <c r="O157"/>
  <c r="K195"/>
  <c r="N219"/>
  <c r="K205"/>
  <c r="K104"/>
  <c r="L104"/>
  <c r="O32"/>
  <c r="O211"/>
  <c r="P77"/>
  <c r="O191"/>
  <c r="M168"/>
  <c r="N83"/>
  <c r="N211"/>
  <c r="P37"/>
  <c r="K61"/>
  <c r="L61"/>
  <c r="O171"/>
  <c r="O73"/>
  <c r="N176"/>
  <c r="N171"/>
  <c r="N96"/>
  <c r="P63"/>
  <c r="P85"/>
  <c r="K134"/>
  <c r="M61"/>
  <c r="M185"/>
  <c r="O185"/>
  <c r="O181"/>
  <c r="N28"/>
  <c r="M28"/>
  <c r="N57"/>
  <c r="O57"/>
  <c r="K57"/>
  <c r="L57"/>
  <c r="M91"/>
  <c r="N91"/>
  <c r="P106"/>
  <c r="O106"/>
  <c r="M154"/>
  <c r="O154"/>
  <c r="K193"/>
  <c r="O193"/>
  <c r="M193"/>
  <c r="P197"/>
  <c r="N197"/>
  <c r="K197"/>
  <c r="M45"/>
  <c r="P193"/>
  <c r="K59"/>
  <c r="L59"/>
  <c r="K168"/>
  <c r="P57"/>
  <c r="O219"/>
  <c r="K101"/>
  <c r="L101"/>
  <c r="K211"/>
  <c r="P104"/>
  <c r="K32"/>
  <c r="L32"/>
  <c r="O208"/>
  <c r="P185"/>
  <c r="M195"/>
  <c r="M191"/>
  <c r="O168"/>
  <c r="K83"/>
  <c r="L83"/>
  <c r="P184"/>
  <c r="M211"/>
  <c r="K201"/>
  <c r="N193"/>
  <c r="M37"/>
  <c r="P93"/>
  <c r="O61"/>
  <c r="O87"/>
  <c r="K215"/>
  <c r="P189"/>
  <c r="N111"/>
  <c r="O111"/>
  <c r="K22"/>
  <c r="L22"/>
  <c r="N125"/>
  <c r="P31"/>
  <c r="P50"/>
  <c r="O76"/>
  <c r="M94"/>
  <c r="O102"/>
  <c r="M105"/>
  <c r="K127"/>
  <c r="L127"/>
  <c r="M129"/>
  <c r="P133"/>
  <c r="O135"/>
  <c r="K137"/>
  <c r="K143"/>
  <c r="P145"/>
  <c r="N147"/>
  <c r="P149"/>
  <c r="O151"/>
  <c r="K156"/>
  <c r="P158"/>
  <c r="P162"/>
  <c r="M164"/>
  <c r="O166"/>
  <c r="K169"/>
  <c r="N175"/>
  <c r="O177"/>
  <c r="K179"/>
  <c r="K187"/>
  <c r="K191"/>
  <c r="O192"/>
  <c r="K194"/>
  <c r="P196"/>
  <c r="P198"/>
  <c r="K199"/>
  <c r="M200"/>
  <c r="N202"/>
  <c r="K203"/>
  <c r="K204"/>
  <c r="O206"/>
  <c r="P212"/>
  <c r="M214"/>
  <c r="O216"/>
  <c r="K217"/>
  <c r="K218"/>
  <c r="M220"/>
  <c r="N24"/>
  <c r="K186"/>
  <c r="K182"/>
  <c r="K35"/>
  <c r="L35"/>
  <c r="K120"/>
  <c r="L120"/>
  <c r="K125"/>
  <c r="L125"/>
  <c r="M74"/>
  <c r="O54"/>
  <c r="P27"/>
  <c r="M30"/>
  <c r="N32"/>
  <c r="K33"/>
  <c r="L33"/>
  <c r="N117"/>
  <c r="O128"/>
  <c r="N134"/>
  <c r="M144"/>
  <c r="K146"/>
  <c r="K147"/>
  <c r="K148"/>
  <c r="K151"/>
  <c r="P154"/>
  <c r="N163"/>
  <c r="N186"/>
  <c r="P122"/>
  <c r="M125"/>
  <c r="P125"/>
  <c r="O153"/>
  <c r="M153"/>
  <c r="K153"/>
  <c r="N155"/>
  <c r="P155"/>
  <c r="N188"/>
  <c r="K188"/>
  <c r="M188"/>
  <c r="P174"/>
  <c r="N174"/>
  <c r="M174"/>
  <c r="O25"/>
  <c r="M25"/>
  <c r="K25"/>
  <c r="L25"/>
  <c r="N115"/>
  <c r="M115"/>
  <c r="P166"/>
  <c r="O149"/>
  <c r="M143"/>
  <c r="O162"/>
  <c r="N162"/>
  <c r="M216"/>
  <c r="K135"/>
  <c r="O214"/>
  <c r="M66"/>
  <c r="O204"/>
  <c r="N196"/>
  <c r="M206"/>
  <c r="K212"/>
  <c r="O174"/>
  <c r="M26"/>
  <c r="N129"/>
  <c r="M194"/>
  <c r="N200"/>
  <c r="P118"/>
  <c r="K129"/>
  <c r="L129"/>
  <c r="M130"/>
  <c r="O130"/>
  <c r="K136"/>
  <c r="N141"/>
  <c r="P141"/>
  <c r="P150"/>
  <c r="K150"/>
  <c r="K152"/>
  <c r="M152"/>
  <c r="K123"/>
  <c r="L123"/>
  <c r="M175"/>
  <c r="K220"/>
  <c r="K149"/>
  <c r="P194"/>
  <c r="K75"/>
  <c r="L75"/>
  <c r="K166"/>
  <c r="O158"/>
  <c r="M149"/>
  <c r="O147"/>
  <c r="K117"/>
  <c r="L117"/>
  <c r="M59"/>
  <c r="N181"/>
  <c r="K162"/>
  <c r="N101"/>
  <c r="K216"/>
  <c r="O91"/>
  <c r="K67"/>
  <c r="L67"/>
  <c r="K181"/>
  <c r="O75"/>
  <c r="P178"/>
  <c r="P164"/>
  <c r="M83"/>
  <c r="K93"/>
  <c r="L93"/>
  <c r="N218"/>
  <c r="P135"/>
  <c r="P204"/>
  <c r="K130"/>
  <c r="L130"/>
  <c r="N194"/>
  <c r="M134"/>
  <c r="P98"/>
  <c r="K66"/>
  <c r="L66"/>
  <c r="P218"/>
  <c r="M150"/>
  <c r="K73"/>
  <c r="L73"/>
  <c r="O66"/>
  <c r="P136"/>
  <c r="O188"/>
  <c r="P202"/>
  <c r="P216"/>
  <c r="K118"/>
  <c r="L118"/>
  <c r="P188"/>
  <c r="N106"/>
  <c r="P134"/>
  <c r="M87"/>
  <c r="N153"/>
  <c r="P25"/>
  <c r="N51"/>
  <c r="N206"/>
  <c r="P127"/>
  <c r="N199"/>
  <c r="M218"/>
  <c r="K115"/>
  <c r="L115"/>
  <c r="M135"/>
  <c r="N30"/>
  <c r="O33"/>
  <c r="M33"/>
  <c r="K41"/>
  <c r="L41"/>
  <c r="K45"/>
  <c r="L45"/>
  <c r="K48"/>
  <c r="L48"/>
  <c r="K52"/>
  <c r="L52"/>
  <c r="K60"/>
  <c r="L60"/>
  <c r="K71"/>
  <c r="L71"/>
  <c r="P72"/>
  <c r="M72"/>
  <c r="N72"/>
  <c r="K72"/>
  <c r="L72"/>
  <c r="P86"/>
  <c r="O86"/>
  <c r="N86"/>
  <c r="M90"/>
  <c r="O90"/>
  <c r="N90"/>
  <c r="P90"/>
  <c r="N99"/>
  <c r="K99"/>
  <c r="L99"/>
  <c r="K106"/>
  <c r="L106"/>
  <c r="M107"/>
  <c r="O107"/>
  <c r="N23"/>
  <c r="K23"/>
  <c r="L23"/>
  <c r="O23"/>
  <c r="M23"/>
  <c r="P36"/>
  <c r="K36"/>
  <c r="L36"/>
  <c r="N36"/>
  <c r="P39"/>
  <c r="M39"/>
  <c r="P113"/>
  <c r="P119"/>
  <c r="N119"/>
  <c r="O156"/>
  <c r="P156"/>
  <c r="P177"/>
  <c r="K177"/>
  <c r="N179"/>
  <c r="M179"/>
  <c r="P179"/>
  <c r="M190"/>
  <c r="N190"/>
  <c r="O190"/>
  <c r="P192"/>
  <c r="M192"/>
  <c r="N209"/>
  <c r="P209"/>
  <c r="O209"/>
  <c r="K209"/>
  <c r="M212"/>
  <c r="O212"/>
  <c r="O115"/>
  <c r="O194"/>
  <c r="M147"/>
  <c r="P200"/>
  <c r="O202"/>
  <c r="O164"/>
  <c r="O218"/>
  <c r="K192"/>
  <c r="P115"/>
  <c r="P220"/>
  <c r="K190"/>
  <c r="M166"/>
  <c r="P151"/>
  <c r="N149"/>
  <c r="N164"/>
  <c r="N212"/>
  <c r="K145"/>
  <c r="N151"/>
  <c r="O198"/>
  <c r="M196"/>
  <c r="M198"/>
  <c r="M209"/>
  <c r="N204"/>
  <c r="M67"/>
  <c r="N220"/>
  <c r="K206"/>
  <c r="N49"/>
  <c r="K198"/>
  <c r="N192"/>
  <c r="P175"/>
  <c r="M169"/>
  <c r="P153"/>
  <c r="K26"/>
  <c r="L26"/>
  <c r="N25"/>
  <c r="O196"/>
  <c r="P117"/>
  <c r="P165"/>
  <c r="N165"/>
  <c r="O176"/>
  <c r="M176"/>
  <c r="M187"/>
  <c r="O187"/>
  <c r="P187"/>
  <c r="K208"/>
  <c r="K214"/>
  <c r="P66"/>
  <c r="N22"/>
  <c r="M113"/>
  <c r="O113"/>
  <c r="P59"/>
  <c r="N61"/>
  <c r="M63"/>
  <c r="P71"/>
  <c r="M75"/>
  <c r="K86"/>
  <c r="L86"/>
  <c r="K91"/>
  <c r="L91"/>
  <c r="M93"/>
  <c r="N98"/>
  <c r="N104"/>
  <c r="N135"/>
  <c r="O165"/>
  <c r="P176"/>
  <c r="K140"/>
  <c r="M27"/>
  <c r="N120"/>
  <c r="P121"/>
  <c r="O125"/>
  <c r="N29"/>
  <c r="N54"/>
  <c r="K157"/>
  <c r="K163"/>
  <c r="N166"/>
  <c r="M78"/>
  <c r="M120"/>
  <c r="P124"/>
  <c r="M124"/>
  <c r="K124"/>
  <c r="L124"/>
  <c r="O124"/>
  <c r="N124"/>
  <c r="O121"/>
  <c r="M123"/>
  <c r="N123"/>
  <c r="O123"/>
  <c r="N122"/>
  <c r="O122"/>
  <c r="M122"/>
  <c r="K122"/>
  <c r="L122"/>
  <c r="M121"/>
  <c r="K121"/>
  <c r="L121"/>
  <c r="N121"/>
  <c r="M119"/>
  <c r="K119"/>
  <c r="L119"/>
  <c r="O119"/>
  <c r="J60" i="4"/>
  <c r="N183" i="6"/>
  <c r="O183"/>
  <c r="P142"/>
  <c r="M142"/>
  <c r="K142"/>
  <c r="P114"/>
  <c r="K114"/>
  <c r="L114"/>
  <c r="M114"/>
  <c r="N114"/>
  <c r="O114"/>
  <c r="M183"/>
  <c r="N41"/>
  <c r="P41"/>
  <c r="O41"/>
  <c r="N43"/>
  <c r="P43"/>
  <c r="P45"/>
  <c r="N45"/>
  <c r="O49"/>
  <c r="P49"/>
  <c r="M49"/>
  <c r="O51"/>
  <c r="P51"/>
  <c r="N53"/>
  <c r="P53"/>
  <c r="M53"/>
  <c r="K55"/>
  <c r="L55"/>
  <c r="K69"/>
  <c r="L69"/>
  <c r="M73"/>
  <c r="P73"/>
  <c r="K74"/>
  <c r="L74"/>
  <c r="M81"/>
  <c r="M85"/>
  <c r="O85"/>
  <c r="K87"/>
  <c r="L87"/>
  <c r="M89"/>
  <c r="P89"/>
  <c r="M96"/>
  <c r="M106"/>
  <c r="M137"/>
  <c r="P137"/>
  <c r="N137"/>
  <c r="O137"/>
  <c r="P143"/>
  <c r="O143"/>
  <c r="N145"/>
  <c r="M145"/>
  <c r="O155"/>
  <c r="O160"/>
  <c r="N160"/>
  <c r="M160"/>
  <c r="P169"/>
  <c r="O169"/>
  <c r="N169"/>
  <c r="P140"/>
  <c r="M140"/>
  <c r="N140"/>
  <c r="K174"/>
  <c r="M22"/>
  <c r="N182"/>
  <c r="P182"/>
  <c r="N38"/>
  <c r="O38"/>
  <c r="I60" i="4"/>
  <c r="M31" i="6"/>
  <c r="N42"/>
  <c r="P42"/>
  <c r="O48"/>
  <c r="O50"/>
  <c r="K50"/>
  <c r="L50"/>
  <c r="O52"/>
  <c r="K53"/>
  <c r="L53"/>
  <c r="M56"/>
  <c r="O56"/>
  <c r="K56"/>
  <c r="L56"/>
  <c r="P56"/>
  <c r="M58"/>
  <c r="N58"/>
  <c r="O58"/>
  <c r="P58"/>
  <c r="K58"/>
  <c r="L58"/>
  <c r="O136"/>
  <c r="M136"/>
  <c r="P144"/>
  <c r="N144"/>
  <c r="O146"/>
  <c r="M146"/>
  <c r="P148"/>
  <c r="O148"/>
  <c r="N148"/>
  <c r="M156"/>
  <c r="N156"/>
  <c r="N158"/>
  <c r="K158"/>
  <c r="O189"/>
  <c r="M189"/>
  <c r="K189"/>
  <c r="N201"/>
  <c r="O201"/>
  <c r="M203"/>
  <c r="N203"/>
  <c r="N213"/>
  <c r="M213"/>
  <c r="P215"/>
  <c r="O215"/>
  <c r="N215"/>
  <c r="P217"/>
  <c r="N217"/>
  <c r="M217"/>
  <c r="M68"/>
  <c r="K68"/>
  <c r="L68"/>
  <c r="P68"/>
  <c r="N68"/>
  <c r="O78"/>
  <c r="N78"/>
  <c r="P60"/>
  <c r="O60"/>
  <c r="N60"/>
  <c r="M60"/>
  <c r="M84"/>
  <c r="P84"/>
  <c r="N107"/>
  <c r="K107"/>
  <c r="L107"/>
  <c r="P107"/>
  <c r="K128"/>
  <c r="L128"/>
  <c r="K133"/>
  <c r="K37"/>
  <c r="L37"/>
  <c r="P112"/>
  <c r="K112"/>
  <c r="L112"/>
  <c r="K111"/>
  <c r="L111"/>
  <c r="K113"/>
  <c r="L113"/>
  <c r="N113"/>
  <c r="M127"/>
  <c r="N127"/>
  <c r="O127"/>
  <c r="O129"/>
  <c r="P129"/>
  <c r="M133"/>
  <c r="N133"/>
  <c r="O133"/>
  <c r="P160"/>
  <c r="K175"/>
  <c r="O175"/>
  <c r="M177"/>
  <c r="N177"/>
  <c r="K200"/>
  <c r="K213"/>
  <c r="O26"/>
  <c r="P26"/>
  <c r="O24"/>
  <c r="P24"/>
  <c r="O142"/>
  <c r="P38"/>
  <c r="P110"/>
  <c r="K110"/>
  <c r="L110"/>
  <c r="M110"/>
  <c r="N110"/>
  <c r="M155"/>
  <c r="K155"/>
  <c r="J68" i="4"/>
  <c r="J69"/>
  <c r="L69"/>
  <c r="H68"/>
  <c r="L68"/>
  <c r="H60" l="1"/>
  <c r="G60"/>
  <c r="K60"/>
  <c r="H66" s="1"/>
  <c r="H70" l="1"/>
  <c r="H64"/>
  <c r="H72" l="1"/>
  <c r="H74" s="1"/>
  <c r="H76" s="1"/>
  <c r="H79"/>
</calcChain>
</file>

<file path=xl/sharedStrings.xml><?xml version="1.0" encoding="utf-8"?>
<sst xmlns="http://schemas.openxmlformats.org/spreadsheetml/2006/main" count="501" uniqueCount="312">
  <si>
    <t>Extended    Price</t>
  </si>
  <si>
    <t>Unit          Price</t>
  </si>
  <si>
    <t>Product Description</t>
  </si>
  <si>
    <t xml:space="preserve">Collection or Delivery:  </t>
  </si>
  <si>
    <t xml:space="preserve">Herbalife ID No:  </t>
  </si>
  <si>
    <t xml:space="preserve">Distributor Name:  </t>
  </si>
  <si>
    <t xml:space="preserve">Totals:  </t>
  </si>
  <si>
    <t xml:space="preserve">Country:  </t>
  </si>
  <si>
    <t xml:space="preserve">Tel No:  </t>
  </si>
  <si>
    <t xml:space="preserve">Fax No:  </t>
  </si>
  <si>
    <t xml:space="preserve">email address:  </t>
  </si>
  <si>
    <t>DISTRIBUTOR DETAILS</t>
  </si>
  <si>
    <t>DELIVERY DETAILS</t>
  </si>
  <si>
    <t>ORDER DETAILS</t>
  </si>
  <si>
    <t xml:space="preserve">Order Date:  </t>
  </si>
  <si>
    <t>Card or Payment Method:</t>
  </si>
  <si>
    <t>Expiry Date</t>
  </si>
  <si>
    <t>Straight or Budget:</t>
  </si>
  <si>
    <t>Credit Card No:</t>
  </si>
  <si>
    <t>Product Name</t>
  </si>
  <si>
    <t>Volume Points</t>
  </si>
  <si>
    <t>Lipo Bond</t>
  </si>
  <si>
    <t>Supervisor's Renewal Fee</t>
  </si>
  <si>
    <t>Order Form - Retail</t>
  </si>
  <si>
    <t xml:space="preserve">Plastic Bags - Small </t>
  </si>
  <si>
    <t>Plastic Bags - Large</t>
  </si>
  <si>
    <t xml:space="preserve">Distributor's Renewal Fee </t>
  </si>
  <si>
    <t xml:space="preserve">National ID No:  </t>
  </si>
  <si>
    <t>CVV No:</t>
  </si>
  <si>
    <t>Order Discount</t>
  </si>
  <si>
    <t>Qty</t>
  </si>
  <si>
    <t>Herbalife International, South Africa, LTD</t>
  </si>
  <si>
    <t xml:space="preserve">Mon. - Fri. 8:00am - 5:00pm </t>
  </si>
  <si>
    <t>retail</t>
  </si>
  <si>
    <t>earn base</t>
  </si>
  <si>
    <t>p&amp;h</t>
  </si>
  <si>
    <t>discount</t>
  </si>
  <si>
    <t>p</t>
  </si>
  <si>
    <t>L</t>
  </si>
  <si>
    <t>A</t>
  </si>
  <si>
    <t>DISCOUNT</t>
  </si>
  <si>
    <t>DISCOUNTED RETAIL</t>
  </si>
  <si>
    <t>PACKAGING AND HANDLING</t>
  </si>
  <si>
    <t>NET RANDS DUE</t>
  </si>
  <si>
    <t>Tang Kuei</t>
  </si>
  <si>
    <t>TAX INVOICE</t>
  </si>
  <si>
    <t>INVOICE NUMBER:</t>
  </si>
  <si>
    <t>INVOICE DATE:</t>
  </si>
  <si>
    <t>Unit Volume points</t>
  </si>
  <si>
    <t>Extended Volume points</t>
  </si>
  <si>
    <t>Soul Fragrance for Men</t>
  </si>
  <si>
    <t>Heart Fragrance for Woman</t>
  </si>
  <si>
    <t>Radiant C Skin Booster</t>
  </si>
  <si>
    <t>Radiant C Face Quencher</t>
  </si>
  <si>
    <t>Earn Base</t>
  </si>
  <si>
    <t>N.R.G. - Nature's Raw Guarana Tea</t>
  </si>
  <si>
    <t>Body Buffer - Lotion</t>
  </si>
  <si>
    <t>Body Contouring - Cream</t>
  </si>
  <si>
    <t>Herbal Aloe Soothing Gel</t>
  </si>
  <si>
    <t>Woman - Fragrance</t>
  </si>
  <si>
    <t>Man - Fragrance</t>
  </si>
  <si>
    <r>
      <t>COMPANY REGISTRATION NUMBER</t>
    </r>
    <r>
      <rPr>
        <b/>
        <sz val="9"/>
        <rFont val="Comic Sans MS"/>
        <family val="4"/>
      </rPr>
      <t>: 1995/008160/10</t>
    </r>
  </si>
  <si>
    <r>
      <t>V.A.T. REGISTRATION NUMBER:</t>
    </r>
    <r>
      <rPr>
        <b/>
        <sz val="9"/>
        <rFont val="Comic Sans MS"/>
        <family val="4"/>
      </rPr>
      <t xml:space="preserve"> 4640151983</t>
    </r>
  </si>
  <si>
    <t>Herbalifeline</t>
  </si>
  <si>
    <t>Herbal Aloe Lotion Samples</t>
  </si>
  <si>
    <t>**N.B. All prices are South African Rand Currency</t>
  </si>
  <si>
    <t xml:space="preserve">Herbal Aloe Gel Samples  </t>
  </si>
  <si>
    <t>saorderline@herbalife.com</t>
  </si>
  <si>
    <t xml:space="preserve">FQS DETAILS </t>
  </si>
  <si>
    <t>Button - Lose Weight Now, Ask Me How</t>
  </si>
  <si>
    <t xml:space="preserve">Tablet Crusher </t>
  </si>
  <si>
    <t xml:space="preserve">Retractable Tape Measure </t>
  </si>
  <si>
    <t>PROMOTE</t>
  </si>
  <si>
    <t>Fabric Tape Measure</t>
  </si>
  <si>
    <t xml:space="preserve">Herbalife Shakers </t>
  </si>
  <si>
    <t xml:space="preserve">Mini Mixer </t>
  </si>
  <si>
    <t>Joint Support</t>
  </si>
  <si>
    <t xml:space="preserve">Button - Work From Home </t>
  </si>
  <si>
    <t xml:space="preserve"> </t>
  </si>
  <si>
    <t xml:space="preserve">Thermo Complete </t>
  </si>
  <si>
    <t>Today Magazine Insert</t>
  </si>
  <si>
    <t xml:space="preserve">Button - I Love Herbalife® </t>
  </si>
  <si>
    <t>DISTRIBUTOR CONTACT DETAILS</t>
  </si>
  <si>
    <t>Product Code</t>
  </si>
  <si>
    <t>Cell Activator</t>
  </si>
  <si>
    <t>Radiant C Scrub Cleanser</t>
  </si>
  <si>
    <t>Radiant C Lotion SPF15</t>
  </si>
  <si>
    <t xml:space="preserve">Tablet Box -XL Solid Translucent </t>
  </si>
  <si>
    <t xml:space="preserve">Tablet Box -Med Translucent </t>
  </si>
  <si>
    <t>Herbalife Pencil</t>
  </si>
  <si>
    <t xml:space="preserve"> Order Month:</t>
  </si>
  <si>
    <t xml:space="preserve">SW Lean Protein Estimator </t>
  </si>
  <si>
    <t>CD ROM/DVD</t>
  </si>
  <si>
    <t>P</t>
  </si>
  <si>
    <t>Distributor Wholesale Price List for South Africa</t>
  </si>
  <si>
    <t>ENHANCERS</t>
  </si>
  <si>
    <t>HEALTHY SNACKING</t>
  </si>
  <si>
    <t>Protein Bars - Vanilla Almond (14 Bars per pack)</t>
  </si>
  <si>
    <t>Protein Bars - Chocolate Peanut (14 Bars per pack)</t>
  </si>
  <si>
    <t>Protein Bars - Citrus Lemon (14 Bars per pack)</t>
  </si>
  <si>
    <t>TARGETED PRODUCTS</t>
  </si>
  <si>
    <t>Skin Refreshers</t>
  </si>
  <si>
    <t>Body Care</t>
  </si>
  <si>
    <t xml:space="preserve">Anti Aging Skin </t>
  </si>
  <si>
    <t>HAIR AND BODY CARE FOR ALL THE FAMILY</t>
  </si>
  <si>
    <t xml:space="preserve">            WHOLESALE LITERATURE</t>
  </si>
  <si>
    <t>Unit Price</t>
  </si>
  <si>
    <t>SUGGESTED SELLING PRICE (Customer Price)</t>
  </si>
  <si>
    <t>Herbal Aloe Moisturising Conditioner for Dry, Damaged or Colour treated Hair</t>
  </si>
  <si>
    <t>Tablets - Herbal Complex</t>
  </si>
  <si>
    <t xml:space="preserve">Nourifusion Normal to Dry Kit </t>
  </si>
  <si>
    <t xml:space="preserve">Nourifusion Cleanser N/Dry </t>
  </si>
  <si>
    <t>Nourifusion Toner N/Dry</t>
  </si>
  <si>
    <t xml:space="preserve">Nourifusion Lotion Norm/Dry </t>
  </si>
  <si>
    <t xml:space="preserve">Nourifusion Normal to Oily Kit </t>
  </si>
  <si>
    <t>Nourifusion Cleanser N/Oily</t>
  </si>
  <si>
    <t xml:space="preserve">Nourifusion Toner N/Oily </t>
  </si>
  <si>
    <t xml:space="preserve">Nourifusion Lotion Norm/Oily </t>
  </si>
  <si>
    <t>Nourifusion Night Cream</t>
  </si>
  <si>
    <t xml:space="preserve">Nourifusion Eye Cream </t>
  </si>
  <si>
    <t xml:space="preserve">Nourifusion Eye Gel </t>
  </si>
  <si>
    <t xml:space="preserve">Nourifusion Clarifying Mask </t>
  </si>
  <si>
    <t xml:space="preserve">Nourifusion Moisture Mask  </t>
  </si>
  <si>
    <t xml:space="preserve">Nourifusion Facial Scrub </t>
  </si>
  <si>
    <t>Niteworks-15 day</t>
  </si>
  <si>
    <t>Herbal Aloe Bath &amp; Body Bar</t>
  </si>
  <si>
    <t xml:space="preserve">Button - Nourifusion </t>
  </si>
  <si>
    <t>IBO Career Manual</t>
  </si>
  <si>
    <t>Stand 17, Janadel Avenue, Riverview Park, Bekker Road Extension</t>
  </si>
  <si>
    <t>Midrand, 1685, South-Africa.</t>
  </si>
  <si>
    <t>Wellness Brochure</t>
  </si>
  <si>
    <t>Before &amp; After Pack</t>
  </si>
  <si>
    <t>Success from Home Magazine</t>
  </si>
  <si>
    <t>Midrand, Gauteng, 1685</t>
  </si>
  <si>
    <t>P392</t>
  </si>
  <si>
    <t>P393</t>
  </si>
  <si>
    <t>Generation H Brochure</t>
  </si>
  <si>
    <t>Herbalife Gold Magnetic Pin</t>
  </si>
  <si>
    <t>Herbalife Silver Magnetic Pin</t>
  </si>
  <si>
    <t>HRBL/HFF Keyring</t>
  </si>
  <si>
    <t>Core Products Ds Referance Guide</t>
  </si>
  <si>
    <t>Mark Hughes DVD</t>
  </si>
  <si>
    <t>HERBALIFE T-SHIRTS</t>
  </si>
  <si>
    <t>C296</t>
  </si>
  <si>
    <t>Generation H DVD</t>
  </si>
  <si>
    <t>Skin Activator Lotion Oval 50 ml Tube</t>
  </si>
  <si>
    <t>Skin Activator Decolletage Cream Pump 50ml</t>
  </si>
  <si>
    <t>Skin Activator Night Cream Jar 50ml</t>
  </si>
  <si>
    <t>Skin Activator Lip Treatment</t>
  </si>
  <si>
    <t>27 11 554-1000 - Phone Orders</t>
  </si>
  <si>
    <t>Sales Order Fax Order27 11 805-0899 , DR Fax 086-633-8026</t>
  </si>
  <si>
    <t>Wellness Button</t>
  </si>
  <si>
    <t>P391</t>
  </si>
  <si>
    <t>Core Nutrition</t>
  </si>
  <si>
    <t xml:space="preserve">Nutritional Shake Mix F1- Vanilla </t>
  </si>
  <si>
    <t>Nutritional Shake Mix F1 - Chocolate</t>
  </si>
  <si>
    <t>Nutritional Shake Mix F1 - Strawberry</t>
  </si>
  <si>
    <t>Nutritional Shake Mix F1 - Tropical Fruit</t>
  </si>
  <si>
    <t>Nutritional Shake Mix F1- Cookies and Cream</t>
  </si>
  <si>
    <t>Personalized Protein Powder F3</t>
  </si>
  <si>
    <t>Fibre &amp; Herbs</t>
  </si>
  <si>
    <t>F2 Multivitamin Complex</t>
  </si>
  <si>
    <t>QUICKSTART KIT with BAG</t>
  </si>
  <si>
    <t>Quickstart- F1 Vanilla, F2, F3 &amp; Fibre&amp;Herb</t>
  </si>
  <si>
    <t>Quickstart- F1 - Chocolate, F2, F3 &amp; Fibre&amp;Herb</t>
  </si>
  <si>
    <t>Quickstart- F1 - Strawberry, F2, F3 &amp; Fibre&amp;Herb</t>
  </si>
  <si>
    <t>Quickstart- F1 - Tropical Fruit, F2, F3 &amp; Fibre&amp;Herb</t>
  </si>
  <si>
    <t>Quickstart- F1 - Cookies and cream, F2, F3 &amp; Fibre&amp;Herbs</t>
  </si>
  <si>
    <t>BROCHURES, BOOKLETS, FLYERS.</t>
  </si>
  <si>
    <t xml:space="preserve">Product Brochure </t>
  </si>
  <si>
    <t>Personalised Nutrition Solutions DVD (pack of 10)</t>
  </si>
  <si>
    <t>Personalised Nutrition Solutions DVD (single)</t>
  </si>
  <si>
    <t>CASA Herbalife</t>
  </si>
  <si>
    <t>FORMS</t>
  </si>
  <si>
    <t>MISCELLANEOUS ITEMS</t>
  </si>
  <si>
    <t>SAMPLING ITEMS</t>
  </si>
  <si>
    <t xml:space="preserve">Formula 1 Container </t>
  </si>
  <si>
    <t>Standard International Business Pack - Nutritional in Tote Bag</t>
  </si>
  <si>
    <t xml:space="preserve"> Fragrances'</t>
  </si>
  <si>
    <t>Pula Exchange rate(01 Oct 2009)</t>
  </si>
  <si>
    <t>0 - 499 VP</t>
  </si>
  <si>
    <t>500 - 1999 VP</t>
  </si>
  <si>
    <t>2000 - 4000 VP</t>
  </si>
  <si>
    <t>Over 4000 VP</t>
  </si>
  <si>
    <t xml:space="preserve">Nutritional Shake Mix F1- Vanilla - Single Sachets </t>
  </si>
  <si>
    <t xml:space="preserve">H3O Pro™ Consumer Leaflet </t>
  </si>
  <si>
    <t xml:space="preserve">F1 Express Bar - Chocolate Chip </t>
  </si>
  <si>
    <t>Formula 1 Family Gatefold Flyer</t>
  </si>
  <si>
    <t>H3O Pro™ Isotonic Drink - Lemon Lime (10 sachets per box)</t>
  </si>
  <si>
    <t xml:space="preserve">Herbalife-branded Tote Bag </t>
  </si>
  <si>
    <t xml:space="preserve">F1 Express Bar - Red Berries and Yoghurt </t>
  </si>
  <si>
    <t>20 Steps to Success</t>
  </si>
  <si>
    <t>I Love Herbalife Magnetic Button</t>
  </si>
  <si>
    <t>Instant Herbal Beverage Original 100 grams</t>
  </si>
  <si>
    <t>Instant Herbal Beverage Original 50 grams</t>
  </si>
  <si>
    <t>Instant Herbal Beverage Lemon 50 grams</t>
  </si>
  <si>
    <t>Instant Herbal Beverage Rasberry 50 grams</t>
  </si>
  <si>
    <t>Instant Herbal Beverage Peach 50 grams</t>
  </si>
  <si>
    <t>Gourmet Tomato Soup (21 servings)</t>
  </si>
  <si>
    <t>Success Builder Certificates</t>
  </si>
  <si>
    <t>Qualified Producer Certificates</t>
  </si>
  <si>
    <t>Qualified Producer Pins</t>
  </si>
  <si>
    <t>Success Builder Pins</t>
  </si>
  <si>
    <t>CASA Herbalife Donation (Donations can be made in units R1.00)</t>
  </si>
  <si>
    <t xml:space="preserve">Measuring Spoons - White                         </t>
  </si>
  <si>
    <t>Rose Ox™</t>
  </si>
  <si>
    <t xml:space="preserve">Mini Sports Brochure </t>
  </si>
  <si>
    <t>New Look Shakers</t>
  </si>
  <si>
    <t>Simply the Best Book</t>
  </si>
  <si>
    <t>Midrand</t>
  </si>
  <si>
    <t>CapeTown</t>
  </si>
  <si>
    <t>Durban</t>
  </si>
  <si>
    <t>Ladybrand</t>
  </si>
  <si>
    <t>FREIGHT/PICK UP CHARGE</t>
  </si>
  <si>
    <t>MARKETING FUND</t>
  </si>
  <si>
    <t>NET BEFORE VAT</t>
  </si>
  <si>
    <t>V.A.T.</t>
  </si>
  <si>
    <t>M330</t>
  </si>
  <si>
    <t>Herbalife 24 Polo Women (S)</t>
  </si>
  <si>
    <t>M332</t>
  </si>
  <si>
    <t>Herbalife 24 Polo Women (L)</t>
  </si>
  <si>
    <t>M333</t>
  </si>
  <si>
    <t>Herbalife 24 Polo Women (XL)</t>
  </si>
  <si>
    <t>M334</t>
  </si>
  <si>
    <t>Herbalife 24 Polo Men (S)</t>
  </si>
  <si>
    <t>M335</t>
  </si>
  <si>
    <t>Herbalife 24 Polo Men (M)</t>
  </si>
  <si>
    <t>M336</t>
  </si>
  <si>
    <t>Herbalife 24 Polo Men (L)</t>
  </si>
  <si>
    <t>M337</t>
  </si>
  <si>
    <t>Herbalife 24 Polo Men (XL)</t>
  </si>
  <si>
    <t>Herbalife 24 Range</t>
  </si>
  <si>
    <t>F1 Sport - Vanilla Cream</t>
  </si>
  <si>
    <t>Rebuild Endurance - Vanilla</t>
  </si>
  <si>
    <t>Hydrate - Orange</t>
  </si>
  <si>
    <t>Prolong - Citrus</t>
  </si>
  <si>
    <t>Rebuild Strength - Chocolate</t>
  </si>
  <si>
    <t>If ordered via internet, net rands due</t>
  </si>
  <si>
    <t>Starter Kit</t>
  </si>
  <si>
    <t>500cc Sports Bottle</t>
  </si>
  <si>
    <t>750cc Sports Bottle</t>
  </si>
  <si>
    <t>24H Supershaker</t>
  </si>
  <si>
    <t xml:space="preserve"> Dream It Do It with Herbalife DVD</t>
  </si>
  <si>
    <t>Herbal Aloe Concentrate Mango</t>
  </si>
  <si>
    <t>Wed - 9:00am - 5:00pm</t>
  </si>
  <si>
    <t xml:space="preserve">Delivery Address, or name of person collecting on your behalf:   </t>
  </si>
  <si>
    <t>Herbalife24 Sports Brochure Pack</t>
  </si>
  <si>
    <t>Mini Opportunity International Business Pack in a bag</t>
  </si>
  <si>
    <t>Aloe Drink - Concentrate, 473ml</t>
  </si>
  <si>
    <t>Nutrition Club Posters</t>
  </si>
  <si>
    <t>Active T-shirt (Small)</t>
  </si>
  <si>
    <t>Active T-Shirt (Medium)</t>
  </si>
  <si>
    <t>Active T-Shirt (Large)</t>
  </si>
  <si>
    <t>F1 Free from Gluten, Soy and Lactose</t>
  </si>
  <si>
    <t>RETAIL</t>
  </si>
  <si>
    <t>0 - 2499</t>
  </si>
  <si>
    <t>2500 - 4999</t>
  </si>
  <si>
    <t>5000 - 9999</t>
  </si>
  <si>
    <t>Min</t>
  </si>
  <si>
    <t>Sliding Scale of Freight Charges- South Africa</t>
  </si>
  <si>
    <t>10000- &gt;</t>
  </si>
  <si>
    <t>Shipment</t>
  </si>
  <si>
    <t>Phone</t>
  </si>
  <si>
    <t>Internet</t>
  </si>
  <si>
    <t>Phone includes Fax &amp; e-mail orders</t>
  </si>
  <si>
    <t>Sat. - 8:00am - 12:00pm</t>
  </si>
  <si>
    <t>Walk In /Pick Up</t>
  </si>
  <si>
    <t>SKU</t>
  </si>
  <si>
    <r>
      <rPr>
        <b/>
        <sz val="12"/>
        <rFont val="CG Omega"/>
      </rPr>
      <t>Distributor Discounted Price</t>
    </r>
    <r>
      <rPr>
        <sz val="12"/>
        <rFont val="CG Omega"/>
      </rPr>
      <t>: includes V.A.T, P&amp;H (7%), Marketing fee (1%) and freight (3.5%) of the Total Unit Price. The total cost of the order will vary depending on the order type and the Total unit price of the order.(Refer Freight Sliding Scale Charges). All orders are subject to a minimum freight charge. Prices shown here are estimates;please refer to the attached order form for further information.</t>
    </r>
  </si>
  <si>
    <r>
      <t>Liftoff -</t>
    </r>
    <r>
      <rPr>
        <i/>
        <sz val="12"/>
        <rFont val="CG Omega"/>
        <family val="2"/>
      </rPr>
      <t xml:space="preserve"> </t>
    </r>
    <r>
      <rPr>
        <sz val="12"/>
        <rFont val="CG Omega"/>
        <family val="2"/>
      </rPr>
      <t>Ignite-Me Orange flavour</t>
    </r>
  </si>
  <si>
    <r>
      <t xml:space="preserve">Liftoff - </t>
    </r>
    <r>
      <rPr>
        <sz val="12"/>
        <rFont val="CG Omega"/>
        <family val="2"/>
      </rPr>
      <t>Lemon-Lime Blast flavour</t>
    </r>
  </si>
  <si>
    <r>
      <t xml:space="preserve">                 </t>
    </r>
    <r>
      <rPr>
        <b/>
        <sz val="12"/>
        <rFont val="CG Omega"/>
        <family val="2"/>
      </rPr>
      <t>OUTER NUTRITION</t>
    </r>
  </si>
  <si>
    <r>
      <t>B</t>
    </r>
    <r>
      <rPr>
        <b/>
        <i/>
        <sz val="12"/>
        <rFont val="CG Omega"/>
        <family val="2"/>
      </rPr>
      <t>asic Skin Care</t>
    </r>
  </si>
  <si>
    <r>
      <t>I</t>
    </r>
    <r>
      <rPr>
        <b/>
        <i/>
        <sz val="12"/>
        <rFont val="CG Omega"/>
        <family val="2"/>
      </rPr>
      <t>NTERNATIONAL BUSINESS PACKS AND RENEWAL FEES</t>
    </r>
  </si>
  <si>
    <t xml:space="preserve">             INNER NUTRITION</t>
  </si>
  <si>
    <t>Winner Pack</t>
  </si>
  <si>
    <t>Silver Pin Pack</t>
  </si>
  <si>
    <t>Bronze Pin Pack</t>
  </si>
  <si>
    <t>Gold Pin Pack</t>
  </si>
  <si>
    <t>Rocker Pack 5kg</t>
  </si>
  <si>
    <t>Rocker Pack 10kg</t>
  </si>
  <si>
    <t>Rocker Pack 15kg</t>
  </si>
  <si>
    <t>SOUTH AFRICA</t>
  </si>
  <si>
    <t>HEALTHY BREAKFAST KIT with BAG &amp; BROCHURE</t>
  </si>
  <si>
    <t>Healthy Breakfast Brochure</t>
  </si>
  <si>
    <t>Herbal Aloe Hand &amp; Body Wash</t>
  </si>
  <si>
    <t>Herbal Aloe Everyday Soothing Hand and Body Lotion</t>
  </si>
  <si>
    <t>Herbal Aloe Strengthening Shampoo</t>
  </si>
  <si>
    <t>Herbal Aloe Strengthening Conditioner</t>
  </si>
  <si>
    <t>1</t>
  </si>
  <si>
    <t>8.30</t>
  </si>
  <si>
    <t>*NEW* Herbal Aloe range</t>
  </si>
  <si>
    <t>*NEW* Aloe Outer Nutrition Mini Brochure</t>
  </si>
  <si>
    <t>10</t>
  </si>
  <si>
    <t>F1 Vanilla, Aloe Concentrate,Instant Herbal Beverage Original 50g's</t>
  </si>
  <si>
    <t>F1 Chocolate, Aloe Concentrate,Instant Herbal Beverage Original 50g's</t>
  </si>
  <si>
    <t>F1 Strawberry, Aloe Concentrate,Instant Herbal Beverage Original 50g's</t>
  </si>
  <si>
    <t>F1 Tropical Fruit, Aloe Concentrate,Instant Herbal Beverage Original 50g's</t>
  </si>
  <si>
    <t>F1 Cookies &amp; Cream, Aloe Concentrate,Instant Herbal Beverage Original 50g's</t>
  </si>
  <si>
    <t>20.28</t>
  </si>
  <si>
    <t>5.95</t>
  </si>
  <si>
    <t>Effective Date 18 October 2012</t>
  </si>
  <si>
    <t>Aloe Outer Nutrition Variety Pack- new</t>
  </si>
  <si>
    <t>Herbal Aloe Multipack - Strengthening Conditioner- new</t>
  </si>
  <si>
    <t>Herbal Aloe Multipack - Strengthening Shampoo- new</t>
  </si>
  <si>
    <t>Herbal Aloe Multipack - Hand&amp;Body Wash- new</t>
  </si>
  <si>
    <t>Herbal Aloe Multipack - Soothing Gel - new</t>
  </si>
  <si>
    <t xml:space="preserve">Herbal Aloe Hair &amp; Body Care </t>
  </si>
  <si>
    <r>
      <t>Herbal Aloe Bath &amp; Body Bar-</t>
    </r>
    <r>
      <rPr>
        <i/>
        <sz val="10"/>
        <rFont val="CG Omega"/>
      </rPr>
      <t>will be discontinued once sold out</t>
    </r>
  </si>
  <si>
    <r>
      <t>Herbal Aloe Soft Hair Spray-</t>
    </r>
    <r>
      <rPr>
        <i/>
        <sz val="10"/>
        <rFont val="CG Omega"/>
      </rPr>
      <t>will be discontinued once sold out</t>
    </r>
  </si>
  <si>
    <t>LAST UPDATED: 18 October 2012</t>
  </si>
  <si>
    <t>Herbal Aloe Multipack - Hand&amp;Body Lotion- new</t>
  </si>
</sst>
</file>

<file path=xl/styles.xml><?xml version="1.0" encoding="utf-8"?>
<styleSheet xmlns="http://schemas.openxmlformats.org/spreadsheetml/2006/main">
  <numFmts count="7">
    <numFmt numFmtId="43" formatCode="_ * #,##0.00_ ;_ * \-#,##0.00_ ;_ * &quot;-&quot;??_ ;_ @_ "/>
    <numFmt numFmtId="172" formatCode="0000"/>
    <numFmt numFmtId="173" formatCode="\(0\)"/>
    <numFmt numFmtId="174" formatCode="dd\ mmmm\ yyyy\ \a\t\ hh:mm"/>
    <numFmt numFmtId="175" formatCode="00000000"/>
    <numFmt numFmtId="181" formatCode="[$R-1C09]\ #,##0.00"/>
    <numFmt numFmtId="182" formatCode="0.0%"/>
  </numFmts>
  <fonts count="54">
    <font>
      <sz val="10"/>
      <name val="Arial"/>
    </font>
    <font>
      <sz val="10"/>
      <name val="Arial"/>
      <family val="2"/>
    </font>
    <font>
      <sz val="9"/>
      <name val="Arial"/>
      <family val="2"/>
    </font>
    <font>
      <b/>
      <sz val="10"/>
      <name val="Times New Roman"/>
      <family val="1"/>
    </font>
    <font>
      <b/>
      <i/>
      <sz val="10"/>
      <name val="Arial"/>
      <family val="2"/>
    </font>
    <font>
      <u/>
      <sz val="10"/>
      <color indexed="12"/>
      <name val="Arial"/>
      <family val="2"/>
    </font>
    <font>
      <sz val="9"/>
      <name val="Comic Sans MS"/>
      <family val="4"/>
    </font>
    <font>
      <b/>
      <sz val="8"/>
      <name val="Comic Sans MS"/>
      <family val="4"/>
    </font>
    <font>
      <b/>
      <i/>
      <u/>
      <sz val="9"/>
      <name val="Comic Sans MS"/>
      <family val="4"/>
    </font>
    <font>
      <b/>
      <sz val="9"/>
      <name val="Comic Sans MS"/>
      <family val="4"/>
    </font>
    <font>
      <b/>
      <u/>
      <sz val="12"/>
      <name val="Comic Sans MS"/>
      <family val="4"/>
    </font>
    <font>
      <b/>
      <u/>
      <sz val="10"/>
      <name val="Comic Sans MS"/>
      <family val="4"/>
    </font>
    <font>
      <b/>
      <u/>
      <sz val="8"/>
      <name val="Comic Sans MS"/>
      <family val="4"/>
    </font>
    <font>
      <sz val="10"/>
      <name val="Comic Sans MS"/>
      <family val="4"/>
    </font>
    <font>
      <b/>
      <sz val="9"/>
      <color indexed="48"/>
      <name val="Comic Sans MS"/>
      <family val="4"/>
    </font>
    <font>
      <b/>
      <sz val="8"/>
      <color indexed="48"/>
      <name val="Comic Sans MS"/>
      <family val="4"/>
    </font>
    <font>
      <sz val="8"/>
      <name val="Comic Sans MS"/>
      <family val="4"/>
    </font>
    <font>
      <b/>
      <i/>
      <sz val="9"/>
      <name val="Comic Sans MS"/>
      <family val="4"/>
    </font>
    <font>
      <sz val="10"/>
      <name val="CG Omega"/>
      <family val="2"/>
    </font>
    <font>
      <sz val="10"/>
      <name val="CG Omega"/>
    </font>
    <font>
      <b/>
      <sz val="7"/>
      <name val="Comic Sans MS"/>
      <family val="4"/>
    </font>
    <font>
      <b/>
      <sz val="10"/>
      <name val="Arial"/>
      <family val="2"/>
    </font>
    <font>
      <sz val="10"/>
      <name val="Arial"/>
      <family val="2"/>
    </font>
    <font>
      <b/>
      <sz val="10"/>
      <name val="Comic Sans MS"/>
      <family val="4"/>
    </font>
    <font>
      <sz val="10"/>
      <name val="Arial"/>
      <family val="2"/>
    </font>
    <font>
      <b/>
      <i/>
      <sz val="10"/>
      <name val="Arial"/>
      <family val="2"/>
    </font>
    <font>
      <b/>
      <sz val="10"/>
      <name val="Arial"/>
      <family val="2"/>
    </font>
    <font>
      <sz val="10"/>
      <name val="Arial"/>
      <family val="2"/>
    </font>
    <font>
      <i/>
      <sz val="10"/>
      <name val="CG Omega"/>
      <family val="2"/>
    </font>
    <font>
      <b/>
      <sz val="9"/>
      <name val="CG Omega"/>
      <family val="2"/>
    </font>
    <font>
      <u/>
      <sz val="10"/>
      <color indexed="12"/>
      <name val="CG Omega"/>
      <family val="2"/>
    </font>
    <font>
      <b/>
      <sz val="11"/>
      <name val="CG Omega"/>
      <family val="2"/>
    </font>
    <font>
      <sz val="11"/>
      <name val="Arial"/>
      <family val="2"/>
    </font>
    <font>
      <sz val="11"/>
      <name val="Arial"/>
      <family val="2"/>
    </font>
    <font>
      <sz val="8"/>
      <color indexed="8"/>
      <name val="Tahoma"/>
      <family val="2"/>
    </font>
    <font>
      <sz val="10"/>
      <color indexed="8"/>
      <name val="Arial"/>
      <family val="2"/>
    </font>
    <font>
      <i/>
      <sz val="10"/>
      <name val="Comic Sans MS"/>
      <family val="4"/>
    </font>
    <font>
      <b/>
      <i/>
      <sz val="10"/>
      <name val="Comic Sans MS"/>
      <family val="4"/>
    </font>
    <font>
      <i/>
      <sz val="11"/>
      <name val="CG Omega"/>
    </font>
    <font>
      <b/>
      <sz val="12"/>
      <name val="CG Omega"/>
      <family val="2"/>
    </font>
    <font>
      <sz val="12"/>
      <name val="CG Omega"/>
      <family val="2"/>
    </font>
    <font>
      <sz val="12"/>
      <name val="Arial"/>
      <family val="2"/>
    </font>
    <font>
      <u/>
      <sz val="12"/>
      <color indexed="12"/>
      <name val="CG Omega"/>
      <family val="2"/>
    </font>
    <font>
      <sz val="14"/>
      <name val="Arial"/>
      <family val="2"/>
    </font>
    <font>
      <b/>
      <sz val="12"/>
      <name val="Arial"/>
      <family val="2"/>
    </font>
    <font>
      <sz val="12"/>
      <name val="CG Omega"/>
    </font>
    <font>
      <b/>
      <sz val="12"/>
      <name val="CG Omega"/>
    </font>
    <font>
      <b/>
      <i/>
      <sz val="12"/>
      <name val="CG Omega"/>
      <family val="2"/>
    </font>
    <font>
      <i/>
      <sz val="12"/>
      <name val="CG Omega"/>
      <family val="2"/>
    </font>
    <font>
      <sz val="12"/>
      <color indexed="8"/>
      <name val="CG Omega"/>
    </font>
    <font>
      <sz val="12"/>
      <color indexed="55"/>
      <name val="CG Omega"/>
    </font>
    <font>
      <b/>
      <sz val="14"/>
      <name val="CG Omega"/>
      <family val="2"/>
    </font>
    <font>
      <b/>
      <i/>
      <sz val="12"/>
      <name val="CG Omega"/>
    </font>
    <font>
      <i/>
      <sz val="10"/>
      <name val="CG Omega"/>
    </font>
  </fonts>
  <fills count="10">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5"/>
        <bgColor indexed="64"/>
      </patternFill>
    </fill>
    <fill>
      <patternFill patternType="solid">
        <fgColor indexed="43"/>
        <bgColor indexed="64"/>
      </patternFill>
    </fill>
    <fill>
      <patternFill patternType="solid">
        <fgColor indexed="50"/>
        <bgColor indexed="9"/>
      </patternFill>
    </fill>
    <fill>
      <patternFill patternType="solid">
        <fgColor indexed="50"/>
        <bgColor indexed="64"/>
      </patternFill>
    </fill>
    <fill>
      <patternFill patternType="solid">
        <fgColor indexed="22"/>
        <bgColor indexed="9"/>
      </patternFill>
    </fill>
    <fill>
      <patternFill patternType="solid">
        <fgColor indexed="43"/>
        <bgColor indexed="9"/>
      </patternFill>
    </fill>
  </fills>
  <borders count="7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hair">
        <color indexed="55"/>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medium">
        <color indexed="64"/>
      </top>
      <bottom style="thick">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2" fillId="0" borderId="0"/>
    <xf numFmtId="9" fontId="1" fillId="0" borderId="0" applyFont="0" applyFill="0" applyBorder="0" applyAlignment="0" applyProtection="0"/>
  </cellStyleXfs>
  <cellXfs count="622">
    <xf numFmtId="0" fontId="0" fillId="0" borderId="0" xfId="0"/>
    <xf numFmtId="0" fontId="6" fillId="0" borderId="0" xfId="0" applyFont="1"/>
    <xf numFmtId="0" fontId="6" fillId="0" borderId="0" xfId="0" applyFont="1" applyAlignment="1">
      <alignment horizontal="center"/>
    </xf>
    <xf numFmtId="0" fontId="8" fillId="0" borderId="0" xfId="0" applyFont="1"/>
    <xf numFmtId="0" fontId="8" fillId="0" borderId="0" xfId="0" applyFont="1" applyAlignment="1">
      <alignment horizontal="right"/>
    </xf>
    <xf numFmtId="0" fontId="10" fillId="0" borderId="0" xfId="0" applyFont="1" applyAlignment="1">
      <alignment horizontal="center"/>
    </xf>
    <xf numFmtId="0" fontId="11" fillId="0" borderId="0" xfId="0" applyFont="1" applyAlignment="1">
      <alignment horizontal="left"/>
    </xf>
    <xf numFmtId="14" fontId="12" fillId="0" borderId="1" xfId="0" applyNumberFormat="1" applyFont="1" applyBorder="1" applyAlignment="1">
      <alignment horizontal="left"/>
    </xf>
    <xf numFmtId="0" fontId="9" fillId="0" borderId="0" xfId="0" applyFont="1" applyAlignment="1">
      <alignment horizontal="right"/>
    </xf>
    <xf numFmtId="0" fontId="9" fillId="0" borderId="0" xfId="0" applyFont="1"/>
    <xf numFmtId="9" fontId="6" fillId="0" borderId="0" xfId="0" applyNumberFormat="1" applyFont="1"/>
    <xf numFmtId="0" fontId="6" fillId="0" borderId="0" xfId="0" applyFont="1" applyProtection="1">
      <protection locked="0"/>
    </xf>
    <xf numFmtId="0" fontId="9" fillId="0" borderId="0" xfId="0" applyFont="1" applyAlignment="1">
      <alignment horizontal="center"/>
    </xf>
    <xf numFmtId="0" fontId="7" fillId="0" borderId="0" xfId="0" applyFont="1" applyAlignment="1">
      <alignment horizontal="right"/>
    </xf>
    <xf numFmtId="0" fontId="6" fillId="0" borderId="0" xfId="0" applyFont="1" applyProtection="1">
      <protection hidden="1"/>
    </xf>
    <xf numFmtId="0" fontId="10" fillId="0" borderId="1" xfId="0" applyFont="1" applyBorder="1" applyAlignment="1" applyProtection="1">
      <alignment horizontal="center"/>
      <protection locked="0"/>
    </xf>
    <xf numFmtId="172" fontId="15" fillId="2" borderId="2" xfId="0" applyNumberFormat="1" applyFont="1" applyFill="1" applyBorder="1" applyAlignment="1" applyProtection="1">
      <alignment horizontal="center"/>
      <protection locked="0"/>
    </xf>
    <xf numFmtId="0" fontId="15" fillId="2" borderId="2" xfId="0" applyFont="1" applyFill="1" applyBorder="1" applyAlignment="1" applyProtection="1">
      <alignment horizontal="center"/>
      <protection locked="0"/>
    </xf>
    <xf numFmtId="0" fontId="16" fillId="0" borderId="0" xfId="0" applyFont="1"/>
    <xf numFmtId="43" fontId="16" fillId="0" borderId="0" xfId="1" applyFont="1"/>
    <xf numFmtId="0" fontId="11" fillId="0" borderId="0" xfId="0" applyFont="1" applyAlignment="1">
      <alignment horizontal="center"/>
    </xf>
    <xf numFmtId="0" fontId="11" fillId="0" borderId="0" xfId="0" applyFont="1" applyAlignment="1">
      <alignment horizontal="right"/>
    </xf>
    <xf numFmtId="0" fontId="11" fillId="0" borderId="0" xfId="0" applyFont="1" applyAlignment="1" applyProtection="1">
      <alignment horizontal="center"/>
      <protection locked="0"/>
    </xf>
    <xf numFmtId="0" fontId="23" fillId="0" borderId="0" xfId="0" applyFont="1"/>
    <xf numFmtId="0" fontId="8" fillId="0" borderId="0" xfId="0" applyFont="1" applyAlignment="1">
      <alignment horizontal="left"/>
    </xf>
    <xf numFmtId="0" fontId="18" fillId="3" borderId="0" xfId="3" applyFont="1" applyFill="1" applyBorder="1" applyAlignment="1">
      <alignment vertical="center"/>
    </xf>
    <xf numFmtId="0" fontId="19" fillId="3" borderId="0" xfId="0" applyFont="1" applyFill="1" applyBorder="1"/>
    <xf numFmtId="0" fontId="18" fillId="3" borderId="0" xfId="0" applyFont="1" applyFill="1" applyBorder="1"/>
    <xf numFmtId="0" fontId="24" fillId="3" borderId="0" xfId="0" applyFont="1" applyFill="1" applyBorder="1"/>
    <xf numFmtId="0" fontId="27" fillId="3" borderId="0" xfId="0" applyFont="1" applyFill="1" applyBorder="1"/>
    <xf numFmtId="0" fontId="21" fillId="3" borderId="0" xfId="0" applyFont="1" applyFill="1" applyBorder="1"/>
    <xf numFmtId="0" fontId="28" fillId="3" borderId="0" xfId="0" applyFont="1" applyFill="1" applyBorder="1" applyAlignment="1">
      <alignment horizontal="left"/>
    </xf>
    <xf numFmtId="0" fontId="18" fillId="3" borderId="0" xfId="0" applyFont="1" applyFill="1" applyBorder="1" applyAlignment="1">
      <alignment horizontal="left"/>
    </xf>
    <xf numFmtId="0" fontId="28" fillId="3" borderId="0" xfId="0" applyFont="1" applyFill="1" applyBorder="1"/>
    <xf numFmtId="0" fontId="19" fillId="3" borderId="0" xfId="0" applyFont="1" applyFill="1" applyBorder="1" applyAlignment="1">
      <alignment horizontal="left"/>
    </xf>
    <xf numFmtId="0" fontId="19" fillId="3" borderId="0" xfId="3" applyFont="1" applyFill="1" applyBorder="1" applyAlignment="1">
      <alignment vertical="center"/>
    </xf>
    <xf numFmtId="0" fontId="24" fillId="3" borderId="0" xfId="0" applyFont="1" applyFill="1"/>
    <xf numFmtId="0" fontId="24" fillId="3" borderId="0" xfId="0" applyFont="1" applyFill="1" applyAlignment="1">
      <alignment horizontal="center"/>
    </xf>
    <xf numFmtId="0" fontId="24" fillId="3" borderId="0" xfId="0" applyFont="1" applyFill="1" applyAlignment="1">
      <alignment horizontal="right"/>
    </xf>
    <xf numFmtId="43" fontId="24" fillId="3" borderId="0" xfId="1" applyFont="1" applyFill="1" applyAlignment="1">
      <alignment horizontal="right"/>
    </xf>
    <xf numFmtId="43" fontId="24" fillId="3" borderId="0" xfId="1" applyFont="1" applyFill="1"/>
    <xf numFmtId="0" fontId="1" fillId="3" borderId="3" xfId="0" applyFont="1" applyFill="1" applyBorder="1" applyProtection="1">
      <protection hidden="1"/>
    </xf>
    <xf numFmtId="0" fontId="1" fillId="3" borderId="4" xfId="0" applyFont="1" applyFill="1" applyBorder="1" applyProtection="1">
      <protection hidden="1"/>
    </xf>
    <xf numFmtId="0" fontId="4" fillId="3" borderId="5" xfId="0" applyFont="1" applyFill="1" applyBorder="1" applyAlignment="1" applyProtection="1">
      <alignment vertical="center"/>
      <protection hidden="1"/>
    </xf>
    <xf numFmtId="173" fontId="25" fillId="3" borderId="0" xfId="0" applyNumberFormat="1" applyFont="1" applyFill="1" applyBorder="1" applyAlignment="1" applyProtection="1">
      <alignment horizontal="center" vertical="center"/>
      <protection hidden="1"/>
    </xf>
    <xf numFmtId="2" fontId="21" fillId="3" borderId="0" xfId="0" applyNumberFormat="1" applyFont="1" applyFill="1" applyBorder="1" applyAlignment="1" applyProtection="1">
      <alignment horizontal="right" vertical="center"/>
      <protection hidden="1"/>
    </xf>
    <xf numFmtId="43" fontId="25" fillId="3" borderId="0" xfId="1" applyFont="1" applyFill="1" applyBorder="1" applyAlignment="1" applyProtection="1">
      <alignment horizontal="right" vertical="center"/>
      <protection hidden="1"/>
    </xf>
    <xf numFmtId="43" fontId="25" fillId="3" borderId="0" xfId="1" applyFont="1" applyFill="1" applyBorder="1" applyAlignment="1" applyProtection="1">
      <alignment vertical="center"/>
      <protection hidden="1"/>
    </xf>
    <xf numFmtId="4" fontId="25" fillId="3" borderId="0" xfId="0" applyNumberFormat="1" applyFont="1" applyFill="1" applyBorder="1" applyAlignment="1" applyProtection="1">
      <alignment horizontal="right" vertical="center"/>
      <protection hidden="1"/>
    </xf>
    <xf numFmtId="4" fontId="24" fillId="3" borderId="0" xfId="0" applyNumberFormat="1" applyFont="1" applyFill="1" applyBorder="1" applyAlignment="1" applyProtection="1">
      <alignment vertical="center"/>
      <protection hidden="1"/>
    </xf>
    <xf numFmtId="173" fontId="26" fillId="3" borderId="0" xfId="0" applyNumberFormat="1" applyFont="1" applyFill="1" applyBorder="1" applyAlignment="1" applyProtection="1">
      <alignment horizontal="center" vertical="center"/>
      <protection hidden="1"/>
    </xf>
    <xf numFmtId="2" fontId="21" fillId="3" borderId="0" xfId="0" applyNumberFormat="1" applyFont="1" applyFill="1" applyBorder="1" applyAlignment="1" applyProtection="1">
      <alignment horizontal="right"/>
      <protection hidden="1"/>
    </xf>
    <xf numFmtId="43" fontId="26" fillId="3" borderId="0" xfId="1" applyFont="1" applyFill="1" applyBorder="1" applyAlignment="1" applyProtection="1">
      <alignment horizontal="right" vertical="center"/>
      <protection hidden="1"/>
    </xf>
    <xf numFmtId="43" fontId="26" fillId="3" borderId="0" xfId="1" applyFont="1" applyFill="1" applyBorder="1" applyAlignment="1" applyProtection="1">
      <alignment vertical="center"/>
      <protection hidden="1"/>
    </xf>
    <xf numFmtId="4" fontId="26" fillId="3" borderId="0" xfId="0" applyNumberFormat="1" applyFont="1" applyFill="1" applyBorder="1" applyAlignment="1" applyProtection="1">
      <alignment horizontal="right" vertical="center"/>
      <protection hidden="1"/>
    </xf>
    <xf numFmtId="2" fontId="26" fillId="3" borderId="0" xfId="0" applyNumberFormat="1" applyFont="1" applyFill="1" applyBorder="1" applyAlignment="1" applyProtection="1">
      <alignment horizontal="right"/>
      <protection hidden="1"/>
    </xf>
    <xf numFmtId="0" fontId="26" fillId="3" borderId="5" xfId="0" applyFont="1" applyFill="1" applyBorder="1" applyAlignment="1" applyProtection="1">
      <alignment vertical="center"/>
      <protection hidden="1"/>
    </xf>
    <xf numFmtId="172" fontId="3" fillId="3" borderId="6" xfId="0" quotePrefix="1" applyNumberFormat="1" applyFont="1" applyFill="1" applyBorder="1" applyAlignment="1" applyProtection="1">
      <alignment horizontal="center" vertical="center"/>
      <protection hidden="1"/>
    </xf>
    <xf numFmtId="0" fontId="3" fillId="3" borderId="6" xfId="0" applyFont="1" applyFill="1" applyBorder="1" applyProtection="1">
      <protection hidden="1"/>
    </xf>
    <xf numFmtId="2" fontId="3" fillId="3" borderId="1" xfId="0" quotePrefix="1" applyNumberFormat="1" applyFont="1" applyFill="1" applyBorder="1" applyAlignment="1" applyProtection="1">
      <alignment horizontal="right" vertical="center"/>
      <protection hidden="1"/>
    </xf>
    <xf numFmtId="43" fontId="4" fillId="3" borderId="1" xfId="1" applyFont="1" applyFill="1" applyBorder="1" applyAlignment="1" applyProtection="1">
      <alignment horizontal="right" vertical="center"/>
      <protection hidden="1"/>
    </xf>
    <xf numFmtId="43" fontId="3" fillId="3" borderId="1" xfId="1" applyFont="1" applyFill="1" applyBorder="1" applyAlignment="1" applyProtection="1">
      <alignment horizontal="center" vertical="center"/>
      <protection hidden="1"/>
    </xf>
    <xf numFmtId="4" fontId="3" fillId="3" borderId="7" xfId="0" quotePrefix="1" applyNumberFormat="1" applyFont="1" applyFill="1" applyBorder="1" applyAlignment="1" applyProtection="1">
      <alignment horizontal="right" vertical="center"/>
      <protection hidden="1"/>
    </xf>
    <xf numFmtId="43" fontId="3" fillId="3" borderId="7" xfId="1" quotePrefix="1" applyFont="1" applyFill="1" applyBorder="1" applyAlignment="1" applyProtection="1">
      <alignment horizontal="right" vertical="center"/>
      <protection hidden="1"/>
    </xf>
    <xf numFmtId="43" fontId="3" fillId="3" borderId="1" xfId="1" quotePrefix="1" applyFont="1" applyFill="1" applyBorder="1" applyAlignment="1" applyProtection="1">
      <alignment horizontal="right" vertical="center"/>
      <protection hidden="1"/>
    </xf>
    <xf numFmtId="4" fontId="29" fillId="3" borderId="1" xfId="0" applyNumberFormat="1" applyFont="1" applyFill="1" applyBorder="1" applyAlignment="1" applyProtection="1">
      <alignment horizontal="centerContinuous" vertical="center" wrapText="1"/>
      <protection hidden="1"/>
    </xf>
    <xf numFmtId="4" fontId="29" fillId="3" borderId="8" xfId="0" applyNumberFormat="1" applyFont="1" applyFill="1" applyBorder="1" applyAlignment="1" applyProtection="1">
      <alignment horizontal="center" vertical="center" wrapText="1"/>
      <protection hidden="1"/>
    </xf>
    <xf numFmtId="43" fontId="3" fillId="3" borderId="8" xfId="1" quotePrefix="1" applyFont="1" applyFill="1" applyBorder="1" applyAlignment="1" applyProtection="1">
      <alignment horizontal="right" vertical="center"/>
      <protection hidden="1"/>
    </xf>
    <xf numFmtId="4" fontId="29" fillId="3" borderId="1" xfId="0" applyNumberFormat="1" applyFont="1" applyFill="1" applyBorder="1" applyAlignment="1" applyProtection="1">
      <alignment horizontal="center" vertical="center" wrapText="1"/>
      <protection hidden="1"/>
    </xf>
    <xf numFmtId="0" fontId="15" fillId="0" borderId="9" xfId="0" applyFont="1" applyFill="1" applyBorder="1" applyAlignment="1" applyProtection="1">
      <alignment horizontal="left"/>
      <protection locked="0"/>
    </xf>
    <xf numFmtId="4" fontId="30" fillId="3" borderId="0" xfId="2" applyNumberFormat="1" applyFont="1" applyFill="1" applyBorder="1" applyAlignment="1" applyProtection="1">
      <alignment vertical="center"/>
      <protection hidden="1"/>
    </xf>
    <xf numFmtId="0" fontId="32" fillId="3" borderId="0" xfId="0" applyFont="1" applyFill="1" applyBorder="1"/>
    <xf numFmtId="4" fontId="31" fillId="3" borderId="0" xfId="0" applyNumberFormat="1" applyFont="1" applyFill="1" applyBorder="1" applyAlignment="1" applyProtection="1">
      <alignment vertical="center"/>
      <protection hidden="1"/>
    </xf>
    <xf numFmtId="4" fontId="33" fillId="3" borderId="0" xfId="0" applyNumberFormat="1" applyFont="1" applyFill="1" applyBorder="1" applyAlignment="1" applyProtection="1">
      <alignment vertical="center"/>
      <protection hidden="1"/>
    </xf>
    <xf numFmtId="15" fontId="13" fillId="0" borderId="9" xfId="0" applyNumberFormat="1" applyFont="1" applyFill="1" applyBorder="1" applyAlignment="1">
      <alignment horizontal="left"/>
    </xf>
    <xf numFmtId="0" fontId="14" fillId="0" borderId="10" xfId="0" applyFont="1" applyFill="1" applyBorder="1" applyAlignment="1" applyProtection="1">
      <alignment horizontal="center"/>
      <protection locked="0"/>
    </xf>
    <xf numFmtId="0" fontId="14" fillId="0" borderId="0" xfId="0" applyFont="1" applyFill="1" applyBorder="1" applyAlignment="1" applyProtection="1">
      <alignment horizontal="center"/>
      <protection locked="0"/>
    </xf>
    <xf numFmtId="0" fontId="14" fillId="0" borderId="11" xfId="0" applyFont="1" applyFill="1" applyBorder="1" applyAlignment="1" applyProtection="1">
      <alignment horizontal="center"/>
      <protection locked="0"/>
    </xf>
    <xf numFmtId="1" fontId="15" fillId="0" borderId="12" xfId="0" applyNumberFormat="1" applyFont="1" applyFill="1" applyBorder="1" applyAlignment="1" applyProtection="1">
      <alignment horizontal="left"/>
      <protection locked="0"/>
    </xf>
    <xf numFmtId="175" fontId="15" fillId="0" borderId="12" xfId="0" applyNumberFormat="1" applyFont="1" applyFill="1" applyBorder="1" applyAlignment="1" applyProtection="1">
      <alignment horizontal="left"/>
      <protection locked="0"/>
    </xf>
    <xf numFmtId="0" fontId="15" fillId="0" borderId="2" xfId="0" applyNumberFormat="1" applyFont="1" applyFill="1" applyBorder="1" applyAlignment="1" applyProtection="1">
      <alignment horizontal="left"/>
      <protection locked="0"/>
    </xf>
    <xf numFmtId="9" fontId="15" fillId="0" borderId="9" xfId="0" applyNumberFormat="1" applyFont="1" applyFill="1" applyBorder="1" applyAlignment="1" applyProtection="1">
      <alignment horizontal="left"/>
      <protection locked="0"/>
    </xf>
    <xf numFmtId="49" fontId="15" fillId="0" borderId="13" xfId="0" applyNumberFormat="1" applyFont="1" applyFill="1" applyBorder="1" applyAlignment="1" applyProtection="1">
      <alignment horizontal="left"/>
      <protection locked="0"/>
    </xf>
    <xf numFmtId="9" fontId="7" fillId="0" borderId="13" xfId="4" applyFont="1" applyFill="1" applyBorder="1" applyAlignment="1" applyProtection="1">
      <alignment horizontal="left"/>
      <protection locked="0"/>
    </xf>
    <xf numFmtId="0" fontId="16" fillId="0" borderId="2" xfId="0" applyNumberFormat="1" applyFont="1" applyFill="1" applyBorder="1" applyAlignment="1" applyProtection="1">
      <alignment horizontal="left"/>
      <protection locked="0"/>
    </xf>
    <xf numFmtId="16" fontId="15" fillId="0" borderId="2" xfId="0" applyNumberFormat="1" applyFont="1" applyFill="1" applyBorder="1" applyAlignment="1" applyProtection="1">
      <alignment horizontal="left"/>
      <protection locked="0"/>
    </xf>
    <xf numFmtId="10" fontId="6" fillId="0" borderId="0" xfId="4" applyNumberFormat="1" applyFont="1"/>
    <xf numFmtId="43" fontId="6" fillId="4" borderId="14" xfId="1" applyFont="1" applyFill="1" applyBorder="1" applyProtection="1">
      <protection hidden="1"/>
    </xf>
    <xf numFmtId="2" fontId="15" fillId="2" borderId="13" xfId="1" applyNumberFormat="1" applyFont="1" applyFill="1" applyBorder="1" applyProtection="1">
      <protection hidden="1"/>
    </xf>
    <xf numFmtId="2" fontId="15" fillId="2" borderId="13" xfId="1" applyNumberFormat="1" applyFont="1" applyFill="1" applyBorder="1" applyAlignment="1" applyProtection="1">
      <alignment horizontal="right"/>
      <protection hidden="1"/>
    </xf>
    <xf numFmtId="2" fontId="15" fillId="2" borderId="2" xfId="1" applyNumberFormat="1" applyFont="1" applyFill="1" applyBorder="1" applyProtection="1">
      <protection hidden="1"/>
    </xf>
    <xf numFmtId="0" fontId="6" fillId="2" borderId="3" xfId="0" applyFont="1" applyFill="1" applyBorder="1"/>
    <xf numFmtId="0" fontId="9" fillId="2" borderId="4" xfId="0" applyFont="1" applyFill="1" applyBorder="1" applyAlignment="1" applyProtection="1">
      <alignment horizontal="right"/>
      <protection hidden="1"/>
    </xf>
    <xf numFmtId="43" fontId="6" fillId="2" borderId="15" xfId="1" applyFont="1" applyFill="1" applyBorder="1" applyProtection="1">
      <protection hidden="1"/>
    </xf>
    <xf numFmtId="0" fontId="6" fillId="2" borderId="5" xfId="0" applyFont="1" applyFill="1" applyBorder="1"/>
    <xf numFmtId="0" fontId="9" fillId="2" borderId="0" xfId="0" applyFont="1" applyFill="1" applyBorder="1" applyProtection="1">
      <protection hidden="1"/>
    </xf>
    <xf numFmtId="43" fontId="6" fillId="2" borderId="14" xfId="1" applyFont="1" applyFill="1" applyBorder="1" applyProtection="1">
      <protection hidden="1"/>
    </xf>
    <xf numFmtId="0" fontId="9" fillId="2" borderId="0" xfId="0" applyFont="1" applyFill="1" applyBorder="1" applyAlignment="1" applyProtection="1">
      <alignment horizontal="right"/>
      <protection hidden="1"/>
    </xf>
    <xf numFmtId="43" fontId="9" fillId="2" borderId="15" xfId="1" applyFont="1" applyFill="1" applyBorder="1" applyProtection="1">
      <protection hidden="1"/>
    </xf>
    <xf numFmtId="43" fontId="9" fillId="2" borderId="14" xfId="1" applyFont="1" applyFill="1" applyBorder="1" applyProtection="1">
      <protection hidden="1"/>
    </xf>
    <xf numFmtId="0" fontId="6" fillId="2" borderId="6" xfId="0" applyFont="1" applyFill="1" applyBorder="1"/>
    <xf numFmtId="0" fontId="6" fillId="2" borderId="1" xfId="0" applyFont="1" applyFill="1" applyBorder="1"/>
    <xf numFmtId="43" fontId="6" fillId="2" borderId="8" xfId="1" applyFont="1" applyFill="1" applyBorder="1"/>
    <xf numFmtId="0" fontId="24" fillId="3" borderId="0" xfId="0" applyFont="1" applyFill="1" applyBorder="1" applyProtection="1">
      <protection hidden="1"/>
    </xf>
    <xf numFmtId="4" fontId="22" fillId="3" borderId="0" xfId="0" applyNumberFormat="1" applyFont="1" applyFill="1" applyBorder="1" applyAlignment="1" applyProtection="1">
      <alignment vertical="center"/>
      <protection hidden="1"/>
    </xf>
    <xf numFmtId="0" fontId="24" fillId="3" borderId="4" xfId="0" applyFont="1" applyFill="1" applyBorder="1" applyProtection="1">
      <protection hidden="1"/>
    </xf>
    <xf numFmtId="0" fontId="24" fillId="3" borderId="15" xfId="0" applyFont="1" applyFill="1" applyBorder="1"/>
    <xf numFmtId="0" fontId="24" fillId="3" borderId="14" xfId="0" applyFont="1" applyFill="1" applyBorder="1"/>
    <xf numFmtId="0" fontId="17" fillId="5" borderId="5" xfId="0" applyFont="1" applyFill="1" applyBorder="1" applyAlignment="1">
      <alignment horizontal="right"/>
    </xf>
    <xf numFmtId="0" fontId="36" fillId="5" borderId="5" xfId="0" applyFont="1" applyFill="1" applyBorder="1"/>
    <xf numFmtId="43" fontId="37" fillId="5" borderId="14" xfId="1" applyFont="1" applyFill="1" applyBorder="1" applyProtection="1">
      <protection hidden="1"/>
    </xf>
    <xf numFmtId="0" fontId="24" fillId="3" borderId="4" xfId="0" applyFont="1" applyFill="1" applyBorder="1" applyAlignment="1" applyProtection="1">
      <protection hidden="1"/>
    </xf>
    <xf numFmtId="0" fontId="24" fillId="3" borderId="0" xfId="0" applyFont="1" applyFill="1" applyBorder="1" applyAlignment="1" applyProtection="1">
      <protection hidden="1"/>
    </xf>
    <xf numFmtId="43" fontId="1" fillId="3" borderId="16" xfId="1" applyFont="1" applyFill="1" applyBorder="1" applyAlignment="1" applyProtection="1">
      <alignment vertical="center"/>
      <protection hidden="1"/>
    </xf>
    <xf numFmtId="43" fontId="1" fillId="3" borderId="17" xfId="1" applyFont="1" applyFill="1" applyBorder="1" applyAlignment="1" applyProtection="1">
      <alignment vertical="center"/>
      <protection hidden="1"/>
    </xf>
    <xf numFmtId="43" fontId="1" fillId="3" borderId="18" xfId="1" applyFont="1" applyFill="1" applyBorder="1" applyAlignment="1" applyProtection="1">
      <alignment vertical="center"/>
      <protection hidden="1"/>
    </xf>
    <xf numFmtId="4" fontId="19" fillId="3" borderId="0" xfId="2" applyNumberFormat="1" applyFont="1" applyFill="1" applyBorder="1" applyAlignment="1" applyProtection="1">
      <alignment horizontal="center" vertical="center"/>
      <protection hidden="1"/>
    </xf>
    <xf numFmtId="4" fontId="18" fillId="3" borderId="0" xfId="2" applyNumberFormat="1" applyFont="1" applyFill="1" applyBorder="1" applyAlignment="1" applyProtection="1">
      <alignment horizontal="center" vertical="center"/>
      <protection hidden="1"/>
    </xf>
    <xf numFmtId="43" fontId="1" fillId="3" borderId="0" xfId="1" applyFont="1" applyFill="1" applyBorder="1" applyAlignment="1" applyProtection="1">
      <alignment vertical="center"/>
      <protection hidden="1"/>
    </xf>
    <xf numFmtId="43" fontId="1" fillId="3" borderId="19" xfId="1" applyFont="1" applyFill="1" applyBorder="1" applyAlignment="1" applyProtection="1">
      <alignment vertical="center"/>
      <protection hidden="1"/>
    </xf>
    <xf numFmtId="0" fontId="3" fillId="3" borderId="5" xfId="0" applyFont="1" applyFill="1" applyBorder="1" applyAlignment="1" applyProtection="1">
      <alignment vertical="center"/>
      <protection hidden="1"/>
    </xf>
    <xf numFmtId="173" fontId="3" fillId="3" borderId="6" xfId="0" quotePrefix="1" applyNumberFormat="1" applyFont="1" applyFill="1" applyBorder="1" applyAlignment="1" applyProtection="1">
      <alignment horizontal="center" vertical="center"/>
      <protection hidden="1"/>
    </xf>
    <xf numFmtId="173" fontId="26" fillId="3" borderId="1" xfId="0" applyNumberFormat="1" applyFont="1" applyFill="1" applyBorder="1" applyAlignment="1" applyProtection="1">
      <alignment horizontal="center" vertical="center"/>
      <protection hidden="1"/>
    </xf>
    <xf numFmtId="0" fontId="39" fillId="3" borderId="0" xfId="0" applyFont="1" applyFill="1" applyBorder="1" applyAlignment="1" applyProtection="1">
      <alignment vertical="center"/>
      <protection hidden="1"/>
    </xf>
    <xf numFmtId="0" fontId="40" fillId="3" borderId="0" xfId="0" applyFont="1" applyFill="1" applyBorder="1" applyAlignment="1" applyProtection="1">
      <alignment vertical="center"/>
      <protection hidden="1"/>
    </xf>
    <xf numFmtId="0" fontId="41" fillId="3" borderId="0" xfId="0" applyFont="1" applyFill="1"/>
    <xf numFmtId="4" fontId="40" fillId="3" borderId="0" xfId="0" applyNumberFormat="1" applyFont="1" applyFill="1" applyBorder="1" applyAlignment="1" applyProtection="1">
      <alignment vertical="center"/>
      <protection hidden="1"/>
    </xf>
    <xf numFmtId="0" fontId="41" fillId="3" borderId="0" xfId="0" applyFont="1" applyFill="1" applyBorder="1"/>
    <xf numFmtId="4" fontId="42" fillId="3" borderId="0" xfId="2" applyNumberFormat="1" applyFont="1" applyFill="1" applyBorder="1" applyAlignment="1" applyProtection="1">
      <alignment vertical="center"/>
      <protection hidden="1"/>
    </xf>
    <xf numFmtId="4" fontId="41" fillId="3" borderId="0" xfId="0" applyNumberFormat="1" applyFont="1" applyFill="1" applyBorder="1" applyAlignment="1" applyProtection="1">
      <alignment vertical="center"/>
      <protection hidden="1"/>
    </xf>
    <xf numFmtId="0" fontId="41" fillId="3" borderId="20" xfId="0" applyFont="1" applyFill="1" applyBorder="1" applyAlignment="1">
      <alignment horizontal="center"/>
    </xf>
    <xf numFmtId="4" fontId="45" fillId="3" borderId="20" xfId="2" applyNumberFormat="1" applyFont="1" applyFill="1" applyBorder="1" applyAlignment="1" applyProtection="1">
      <alignment horizontal="center" vertical="center"/>
      <protection hidden="1"/>
    </xf>
    <xf numFmtId="0" fontId="41" fillId="3" borderId="2" xfId="0" applyFont="1" applyFill="1" applyBorder="1" applyAlignment="1">
      <alignment horizontal="center"/>
    </xf>
    <xf numFmtId="0" fontId="41" fillId="3" borderId="21" xfId="0" applyFont="1" applyFill="1" applyBorder="1" applyAlignment="1">
      <alignment horizontal="center"/>
    </xf>
    <xf numFmtId="4" fontId="41" fillId="3" borderId="2" xfId="0" applyNumberFormat="1" applyFont="1" applyFill="1" applyBorder="1" applyAlignment="1" applyProtection="1">
      <alignment horizontal="center" vertical="center"/>
      <protection hidden="1"/>
    </xf>
    <xf numFmtId="4" fontId="44" fillId="3" borderId="22" xfId="0" applyNumberFormat="1" applyFont="1" applyFill="1" applyBorder="1" applyAlignment="1" applyProtection="1">
      <alignment horizontal="right" vertical="center"/>
      <protection hidden="1"/>
    </xf>
    <xf numFmtId="43" fontId="44" fillId="3" borderId="22" xfId="1" applyFont="1" applyFill="1" applyBorder="1" applyAlignment="1" applyProtection="1">
      <alignment horizontal="right" vertical="center"/>
      <protection hidden="1"/>
    </xf>
    <xf numFmtId="4" fontId="41" fillId="3" borderId="23" xfId="0" applyNumberFormat="1" applyFont="1" applyFill="1" applyBorder="1" applyAlignment="1" applyProtection="1">
      <alignment horizontal="center" vertical="center"/>
      <protection hidden="1"/>
    </xf>
    <xf numFmtId="10" fontId="41" fillId="3" borderId="2" xfId="0" applyNumberFormat="1" applyFont="1" applyFill="1" applyBorder="1" applyAlignment="1">
      <alignment horizontal="center"/>
    </xf>
    <xf numFmtId="10" fontId="41" fillId="3" borderId="2" xfId="0" applyNumberFormat="1" applyFont="1" applyFill="1" applyBorder="1" applyAlignment="1" applyProtection="1">
      <alignment horizontal="center" vertical="center"/>
      <protection hidden="1"/>
    </xf>
    <xf numFmtId="10" fontId="41" fillId="3" borderId="24" xfId="0" applyNumberFormat="1" applyFont="1" applyFill="1" applyBorder="1" applyAlignment="1">
      <alignment horizontal="center"/>
    </xf>
    <xf numFmtId="4" fontId="40" fillId="3" borderId="20" xfId="2" applyNumberFormat="1" applyFont="1" applyFill="1" applyBorder="1" applyAlignment="1" applyProtection="1">
      <alignment horizontal="center" vertical="center"/>
      <protection hidden="1"/>
    </xf>
    <xf numFmtId="181" fontId="41" fillId="3" borderId="2" xfId="0" applyNumberFormat="1" applyFont="1" applyFill="1" applyBorder="1" applyAlignment="1">
      <alignment horizontal="center"/>
    </xf>
    <xf numFmtId="181" fontId="41" fillId="3" borderId="2" xfId="0" applyNumberFormat="1" applyFont="1" applyFill="1" applyBorder="1" applyAlignment="1" applyProtection="1">
      <alignment horizontal="center" vertical="center"/>
      <protection hidden="1"/>
    </xf>
    <xf numFmtId="181" fontId="41" fillId="3" borderId="24" xfId="0" applyNumberFormat="1" applyFont="1" applyFill="1" applyBorder="1" applyAlignment="1">
      <alignment horizontal="center" vertical="center"/>
    </xf>
    <xf numFmtId="172" fontId="31" fillId="3" borderId="25" xfId="0" applyNumberFormat="1" applyFont="1" applyFill="1" applyBorder="1" applyAlignment="1" applyProtection="1">
      <alignment horizontal="center" vertical="center" wrapText="1"/>
      <protection hidden="1"/>
    </xf>
    <xf numFmtId="0" fontId="31" fillId="3" borderId="26" xfId="0" applyFont="1" applyFill="1" applyBorder="1" applyAlignment="1" applyProtection="1">
      <alignment horizontal="centerContinuous" vertical="center" wrapText="1"/>
      <protection hidden="1"/>
    </xf>
    <xf numFmtId="173" fontId="31" fillId="3" borderId="26" xfId="0" applyNumberFormat="1" applyFont="1" applyFill="1" applyBorder="1" applyAlignment="1" applyProtection="1">
      <alignment horizontal="center" vertical="center" wrapText="1"/>
      <protection hidden="1"/>
    </xf>
    <xf numFmtId="2" fontId="31" fillId="3" borderId="26" xfId="0" applyNumberFormat="1" applyFont="1" applyFill="1" applyBorder="1" applyAlignment="1" applyProtection="1">
      <alignment horizontal="center" vertical="center" wrapText="1"/>
      <protection hidden="1"/>
    </xf>
    <xf numFmtId="43" fontId="31" fillId="3" borderId="26" xfId="1" applyFont="1" applyFill="1" applyBorder="1" applyAlignment="1" applyProtection="1">
      <alignment horizontal="center" vertical="center" wrapText="1"/>
      <protection hidden="1"/>
    </xf>
    <xf numFmtId="4" fontId="31" fillId="3" borderId="27" xfId="0" applyNumberFormat="1" applyFont="1" applyFill="1" applyBorder="1" applyAlignment="1" applyProtection="1">
      <alignment horizontal="right" vertical="center" wrapText="1"/>
      <protection hidden="1"/>
    </xf>
    <xf numFmtId="9" fontId="31" fillId="3" borderId="26" xfId="4" applyFont="1" applyFill="1" applyBorder="1" applyAlignment="1" applyProtection="1">
      <alignment horizontal="center" vertical="center" wrapText="1"/>
      <protection hidden="1"/>
    </xf>
    <xf numFmtId="182" fontId="31" fillId="3" borderId="26" xfId="4" applyNumberFormat="1" applyFont="1" applyFill="1" applyBorder="1" applyAlignment="1" applyProtection="1">
      <alignment horizontal="center" vertical="center" wrapText="1"/>
      <protection hidden="1"/>
    </xf>
    <xf numFmtId="9" fontId="31" fillId="3" borderId="25" xfId="4" applyFont="1" applyFill="1" applyBorder="1" applyAlignment="1" applyProtection="1">
      <alignment horizontal="center" vertical="center" wrapText="1"/>
      <protection hidden="1"/>
    </xf>
    <xf numFmtId="9" fontId="31" fillId="3" borderId="28" xfId="4" applyFont="1" applyFill="1" applyBorder="1" applyAlignment="1" applyProtection="1">
      <alignment horizontal="center" vertical="center"/>
      <protection hidden="1"/>
    </xf>
    <xf numFmtId="9" fontId="31" fillId="3" borderId="29" xfId="0" applyNumberFormat="1" applyFont="1" applyFill="1" applyBorder="1" applyAlignment="1" applyProtection="1">
      <alignment horizontal="center" vertical="center"/>
      <protection hidden="1"/>
    </xf>
    <xf numFmtId="9" fontId="31" fillId="3" borderId="29" xfId="0" applyNumberFormat="1" applyFont="1" applyFill="1" applyBorder="1" applyAlignment="1" applyProtection="1">
      <alignment horizontal="center" vertical="center" wrapText="1"/>
      <protection hidden="1"/>
    </xf>
    <xf numFmtId="9" fontId="31" fillId="3" borderId="30" xfId="0" applyNumberFormat="1" applyFont="1" applyFill="1" applyBorder="1" applyAlignment="1" applyProtection="1">
      <alignment horizontal="center" vertical="center"/>
      <protection hidden="1"/>
    </xf>
    <xf numFmtId="49" fontId="45" fillId="3" borderId="3" xfId="0" applyNumberFormat="1" applyFont="1" applyFill="1" applyBorder="1" applyAlignment="1" applyProtection="1">
      <alignment horizontal="center" vertical="center"/>
      <protection hidden="1"/>
    </xf>
    <xf numFmtId="49" fontId="45" fillId="3" borderId="4" xfId="0" applyNumberFormat="1" applyFont="1" applyFill="1" applyBorder="1" applyAlignment="1" applyProtection="1">
      <alignment horizontal="center" vertical="center"/>
      <protection hidden="1"/>
    </xf>
    <xf numFmtId="43" fontId="45" fillId="3" borderId="4" xfId="1" applyFont="1" applyFill="1" applyBorder="1" applyAlignment="1" applyProtection="1">
      <alignment horizontal="right" vertical="center"/>
      <protection hidden="1"/>
    </xf>
    <xf numFmtId="43" fontId="45" fillId="3" borderId="15" xfId="1" applyFont="1" applyFill="1" applyBorder="1" applyAlignment="1" applyProtection="1">
      <alignment horizontal="right" vertical="center"/>
      <protection hidden="1"/>
    </xf>
    <xf numFmtId="4" fontId="45" fillId="3" borderId="28" xfId="3" applyNumberFormat="1" applyFont="1" applyFill="1" applyBorder="1" applyAlignment="1" applyProtection="1">
      <alignment horizontal="center" vertical="center" wrapText="1"/>
      <protection hidden="1"/>
    </xf>
    <xf numFmtId="4" fontId="45" fillId="3" borderId="28" xfId="3" applyNumberFormat="1" applyFont="1" applyFill="1" applyBorder="1" applyAlignment="1" applyProtection="1">
      <alignment horizontal="left" vertical="center" wrapText="1"/>
      <protection hidden="1"/>
    </xf>
    <xf numFmtId="4" fontId="45" fillId="3" borderId="29" xfId="3" applyNumberFormat="1" applyFont="1" applyFill="1" applyBorder="1" applyAlignment="1" applyProtection="1">
      <alignment horizontal="center" vertical="center" wrapText="1"/>
      <protection hidden="1"/>
    </xf>
    <xf numFmtId="4" fontId="45" fillId="3" borderId="30" xfId="3" applyNumberFormat="1" applyFont="1" applyFill="1" applyBorder="1" applyAlignment="1" applyProtection="1">
      <alignment horizontal="center" vertical="center" wrapText="1"/>
      <protection hidden="1"/>
    </xf>
    <xf numFmtId="49" fontId="48" fillId="3" borderId="31" xfId="0" applyNumberFormat="1" applyFont="1" applyFill="1" applyBorder="1" applyAlignment="1" applyProtection="1">
      <alignment horizontal="center" vertical="center"/>
      <protection hidden="1"/>
    </xf>
    <xf numFmtId="49" fontId="48" fillId="3" borderId="32" xfId="0" applyNumberFormat="1" applyFont="1" applyFill="1" applyBorder="1" applyAlignment="1" applyProtection="1">
      <alignment horizontal="center" vertical="center"/>
      <protection hidden="1"/>
    </xf>
    <xf numFmtId="43" fontId="48" fillId="3" borderId="32" xfId="1" applyFont="1" applyFill="1" applyBorder="1" applyAlignment="1" applyProtection="1">
      <alignment horizontal="right" vertical="center"/>
      <protection hidden="1"/>
    </xf>
    <xf numFmtId="3" fontId="48" fillId="3" borderId="32" xfId="0" applyNumberFormat="1" applyFont="1" applyFill="1" applyBorder="1" applyAlignment="1" applyProtection="1">
      <alignment horizontal="right" vertical="center"/>
      <protection hidden="1"/>
    </xf>
    <xf numFmtId="172" fontId="48" fillId="3" borderId="33" xfId="0" applyNumberFormat="1" applyFont="1" applyFill="1" applyBorder="1" applyAlignment="1" applyProtection="1">
      <alignment horizontal="left" vertical="center"/>
      <protection hidden="1"/>
    </xf>
    <xf numFmtId="172" fontId="48" fillId="3" borderId="34" xfId="0" applyNumberFormat="1" applyFont="1" applyFill="1" applyBorder="1" applyAlignment="1" applyProtection="1">
      <alignment horizontal="left" vertical="center"/>
      <protection hidden="1"/>
    </xf>
    <xf numFmtId="172" fontId="48" fillId="3" borderId="35" xfId="0" applyNumberFormat="1" applyFont="1" applyFill="1" applyBorder="1" applyAlignment="1" applyProtection="1">
      <alignment horizontal="left" vertical="center"/>
      <protection hidden="1"/>
    </xf>
    <xf numFmtId="172" fontId="45" fillId="3" borderId="31" xfId="0" quotePrefix="1" applyNumberFormat="1" applyFont="1" applyFill="1" applyBorder="1" applyAlignment="1" applyProtection="1">
      <alignment horizontal="left" vertical="center"/>
      <protection hidden="1"/>
    </xf>
    <xf numFmtId="0" fontId="45" fillId="3" borderId="36" xfId="0" applyFont="1" applyFill="1" applyBorder="1" applyAlignment="1" applyProtection="1">
      <alignment horizontal="left" vertical="center"/>
      <protection hidden="1"/>
    </xf>
    <xf numFmtId="49" fontId="45" fillId="3" borderId="20" xfId="0" applyNumberFormat="1" applyFont="1" applyFill="1" applyBorder="1" applyAlignment="1" applyProtection="1">
      <alignment horizontal="center" vertical="center"/>
      <protection hidden="1"/>
    </xf>
    <xf numFmtId="2" fontId="45" fillId="3" borderId="2" xfId="0" applyNumberFormat="1" applyFont="1" applyFill="1" applyBorder="1" applyAlignment="1" applyProtection="1">
      <alignment horizontal="center" vertical="center"/>
      <protection hidden="1"/>
    </xf>
    <xf numFmtId="43" fontId="45" fillId="3" borderId="2" xfId="1" applyFont="1" applyFill="1" applyBorder="1" applyAlignment="1" applyProtection="1">
      <alignment horizontal="center" vertical="center"/>
      <protection hidden="1"/>
    </xf>
    <xf numFmtId="43" fontId="45" fillId="3" borderId="24" xfId="1" applyFont="1" applyFill="1" applyBorder="1" applyAlignment="1" applyProtection="1">
      <alignment horizontal="center" vertical="center"/>
      <protection hidden="1"/>
    </xf>
    <xf numFmtId="3" fontId="45" fillId="3" borderId="20" xfId="0" applyNumberFormat="1" applyFont="1" applyFill="1" applyBorder="1" applyAlignment="1" applyProtection="1">
      <alignment horizontal="center" vertical="center"/>
      <protection hidden="1"/>
    </xf>
    <xf numFmtId="43" fontId="45" fillId="3" borderId="37" xfId="1" applyFont="1" applyFill="1" applyBorder="1" applyAlignment="1" applyProtection="1">
      <alignment horizontal="center" vertical="center"/>
      <protection hidden="1"/>
    </xf>
    <xf numFmtId="4" fontId="45" fillId="3" borderId="21" xfId="3" applyNumberFormat="1" applyFont="1" applyFill="1" applyBorder="1" applyAlignment="1" applyProtection="1">
      <alignment horizontal="center" vertical="center"/>
      <protection hidden="1"/>
    </xf>
    <xf numFmtId="4" fontId="45" fillId="3" borderId="24" xfId="3" applyNumberFormat="1" applyFont="1" applyFill="1" applyBorder="1" applyAlignment="1" applyProtection="1">
      <alignment horizontal="center" vertical="center"/>
      <protection hidden="1"/>
    </xf>
    <xf numFmtId="172" fontId="45" fillId="3" borderId="38" xfId="0" quotePrefix="1" applyNumberFormat="1" applyFont="1" applyFill="1" applyBorder="1" applyAlignment="1" applyProtection="1">
      <alignment horizontal="left" vertical="center"/>
      <protection hidden="1"/>
    </xf>
    <xf numFmtId="0" fontId="45" fillId="3" borderId="13" xfId="0" applyFont="1" applyFill="1" applyBorder="1" applyAlignment="1" applyProtection="1">
      <alignment horizontal="left" vertical="center"/>
      <protection hidden="1"/>
    </xf>
    <xf numFmtId="3" fontId="45" fillId="3" borderId="21" xfId="0" applyNumberFormat="1" applyFont="1" applyFill="1" applyBorder="1" applyAlignment="1" applyProtection="1">
      <alignment horizontal="center" vertical="center"/>
      <protection hidden="1"/>
    </xf>
    <xf numFmtId="43" fontId="45" fillId="3" borderId="13" xfId="1" applyFont="1" applyFill="1" applyBorder="1" applyAlignment="1" applyProtection="1">
      <alignment horizontal="center" vertical="center"/>
      <protection hidden="1"/>
    </xf>
    <xf numFmtId="0" fontId="45" fillId="3" borderId="20" xfId="0" applyNumberFormat="1" applyFont="1" applyFill="1" applyBorder="1" applyAlignment="1" applyProtection="1">
      <alignment horizontal="center" vertical="center"/>
      <protection hidden="1"/>
    </xf>
    <xf numFmtId="172" fontId="40" fillId="3" borderId="39" xfId="0" quotePrefix="1" applyNumberFormat="1" applyFont="1" applyFill="1" applyBorder="1" applyAlignment="1" applyProtection="1">
      <alignment horizontal="left" vertical="center"/>
      <protection hidden="1"/>
    </xf>
    <xf numFmtId="0" fontId="40" fillId="3" borderId="40" xfId="0" applyFont="1" applyFill="1" applyBorder="1" applyAlignment="1" applyProtection="1">
      <alignment horizontal="left" vertical="center"/>
      <protection hidden="1"/>
    </xf>
    <xf numFmtId="0" fontId="45" fillId="3" borderId="41" xfId="0" applyNumberFormat="1" applyFont="1" applyFill="1" applyBorder="1" applyAlignment="1" applyProtection="1">
      <alignment horizontal="center" vertical="center"/>
      <protection hidden="1"/>
    </xf>
    <xf numFmtId="2" fontId="45" fillId="3" borderId="9" xfId="0" applyNumberFormat="1" applyFont="1" applyFill="1" applyBorder="1" applyAlignment="1" applyProtection="1">
      <alignment horizontal="center" vertical="center"/>
      <protection hidden="1"/>
    </xf>
    <xf numFmtId="43" fontId="45" fillId="3" borderId="9" xfId="1" applyFont="1" applyFill="1" applyBorder="1" applyAlignment="1" applyProtection="1">
      <alignment horizontal="center" vertical="center"/>
      <protection hidden="1"/>
    </xf>
    <xf numFmtId="43" fontId="45" fillId="3" borderId="42" xfId="1" applyFont="1" applyFill="1" applyBorder="1" applyAlignment="1" applyProtection="1">
      <alignment horizontal="center" vertical="center"/>
      <protection hidden="1"/>
    </xf>
    <xf numFmtId="3" fontId="45" fillId="3" borderId="43" xfId="0" applyNumberFormat="1" applyFont="1" applyFill="1" applyBorder="1" applyAlignment="1" applyProtection="1">
      <alignment horizontal="center" vertical="center"/>
      <protection hidden="1"/>
    </xf>
    <xf numFmtId="172" fontId="45" fillId="3" borderId="39" xfId="0" quotePrefix="1" applyNumberFormat="1" applyFont="1" applyFill="1" applyBorder="1" applyAlignment="1" applyProtection="1">
      <alignment horizontal="left" vertical="center"/>
      <protection hidden="1"/>
    </xf>
    <xf numFmtId="0" fontId="45" fillId="3" borderId="40" xfId="0" applyFont="1" applyFill="1" applyBorder="1" applyAlignment="1" applyProtection="1">
      <alignment horizontal="left" vertical="center"/>
      <protection hidden="1"/>
    </xf>
    <xf numFmtId="0" fontId="40" fillId="3" borderId="13" xfId="0" applyFont="1" applyFill="1" applyBorder="1" applyAlignment="1" applyProtection="1">
      <alignment horizontal="left" vertical="center"/>
      <protection hidden="1"/>
    </xf>
    <xf numFmtId="172" fontId="40" fillId="3" borderId="38" xfId="0" quotePrefix="1" applyNumberFormat="1" applyFont="1" applyFill="1" applyBorder="1" applyAlignment="1" applyProtection="1">
      <alignment horizontal="left" vertical="center"/>
      <protection hidden="1"/>
    </xf>
    <xf numFmtId="4" fontId="45" fillId="3" borderId="2" xfId="0" applyNumberFormat="1" applyFont="1" applyFill="1" applyBorder="1" applyAlignment="1" applyProtection="1">
      <alignment horizontal="center" vertical="center"/>
      <protection hidden="1"/>
    </xf>
    <xf numFmtId="49" fontId="40" fillId="3" borderId="38" xfId="0" applyNumberFormat="1" applyFont="1" applyFill="1" applyBorder="1" applyAlignment="1" applyProtection="1">
      <alignment horizontal="center" vertical="center"/>
      <protection hidden="1"/>
    </xf>
    <xf numFmtId="49" fontId="40" fillId="3" borderId="22" xfId="0" applyNumberFormat="1" applyFont="1" applyFill="1" applyBorder="1" applyAlignment="1" applyProtection="1">
      <alignment horizontal="center" vertical="center"/>
      <protection hidden="1"/>
    </xf>
    <xf numFmtId="43" fontId="45" fillId="3" borderId="22" xfId="1" applyFont="1" applyFill="1" applyBorder="1" applyAlignment="1" applyProtection="1">
      <alignment horizontal="right" vertical="center"/>
      <protection hidden="1"/>
    </xf>
    <xf numFmtId="43" fontId="40" fillId="3" borderId="21" xfId="1" applyFont="1" applyFill="1" applyBorder="1" applyAlignment="1" applyProtection="1">
      <alignment horizontal="right" vertical="center"/>
      <protection hidden="1"/>
    </xf>
    <xf numFmtId="43" fontId="40" fillId="3" borderId="2" xfId="1" applyFont="1" applyFill="1" applyBorder="1" applyAlignment="1" applyProtection="1">
      <alignment horizontal="right" vertical="center"/>
      <protection hidden="1"/>
    </xf>
    <xf numFmtId="43" fontId="45" fillId="3" borderId="2" xfId="1" applyFont="1" applyFill="1" applyBorder="1" applyAlignment="1" applyProtection="1">
      <alignment horizontal="right" vertical="center"/>
      <protection hidden="1"/>
    </xf>
    <xf numFmtId="43" fontId="40" fillId="3" borderId="13" xfId="1" applyFont="1" applyFill="1" applyBorder="1" applyAlignment="1" applyProtection="1">
      <alignment horizontal="right" vertical="center"/>
      <protection hidden="1"/>
    </xf>
    <xf numFmtId="4" fontId="45" fillId="3" borderId="22" xfId="3" applyNumberFormat="1" applyFont="1" applyFill="1" applyBorder="1" applyAlignment="1" applyProtection="1">
      <alignment horizontal="right" vertical="center"/>
      <protection hidden="1"/>
    </xf>
    <xf numFmtId="4" fontId="45" fillId="3" borderId="23" xfId="3" applyNumberFormat="1" applyFont="1" applyFill="1" applyBorder="1" applyAlignment="1" applyProtection="1">
      <alignment horizontal="right" vertical="center"/>
      <protection hidden="1"/>
    </xf>
    <xf numFmtId="43" fontId="45" fillId="3" borderId="2" xfId="1" applyFont="1" applyFill="1" applyBorder="1" applyAlignment="1" applyProtection="1">
      <alignment vertical="center"/>
      <protection hidden="1"/>
    </xf>
    <xf numFmtId="4" fontId="45" fillId="3" borderId="23" xfId="3" applyNumberFormat="1" applyFont="1" applyFill="1" applyBorder="1" applyAlignment="1" applyProtection="1">
      <alignment horizontal="center" vertical="center"/>
      <protection hidden="1"/>
    </xf>
    <xf numFmtId="49" fontId="48" fillId="3" borderId="38" xfId="0" applyNumberFormat="1" applyFont="1" applyFill="1" applyBorder="1" applyAlignment="1" applyProtection="1">
      <alignment horizontal="center" vertical="center"/>
      <protection hidden="1"/>
    </xf>
    <xf numFmtId="49" fontId="48" fillId="3" borderId="22" xfId="0" applyNumberFormat="1" applyFont="1" applyFill="1" applyBorder="1" applyAlignment="1" applyProtection="1">
      <alignment vertical="center"/>
      <protection hidden="1"/>
    </xf>
    <xf numFmtId="43" fontId="45" fillId="3" borderId="22" xfId="1" applyFont="1" applyFill="1" applyBorder="1" applyAlignment="1" applyProtection="1">
      <alignment vertical="center"/>
      <protection hidden="1"/>
    </xf>
    <xf numFmtId="4" fontId="45" fillId="3" borderId="22" xfId="3" applyNumberFormat="1" applyFont="1" applyFill="1" applyBorder="1" applyAlignment="1" applyProtection="1">
      <alignment horizontal="center" vertical="center"/>
      <protection hidden="1"/>
    </xf>
    <xf numFmtId="49" fontId="40" fillId="3" borderId="22" xfId="0" applyNumberFormat="1" applyFont="1" applyFill="1" applyBorder="1" applyAlignment="1" applyProtection="1">
      <alignment vertical="center"/>
      <protection hidden="1"/>
    </xf>
    <xf numFmtId="172" fontId="45" fillId="3" borderId="20" xfId="0" quotePrefix="1" applyNumberFormat="1" applyFont="1" applyFill="1" applyBorder="1" applyAlignment="1" applyProtection="1">
      <alignment horizontal="left" vertical="center"/>
      <protection hidden="1"/>
    </xf>
    <xf numFmtId="3" fontId="45" fillId="3" borderId="21" xfId="0" applyNumberFormat="1" applyFont="1" applyFill="1" applyBorder="1" applyAlignment="1" applyProtection="1">
      <alignment vertical="center"/>
      <protection hidden="1"/>
    </xf>
    <xf numFmtId="43" fontId="45" fillId="3" borderId="13" xfId="1" applyFont="1" applyFill="1" applyBorder="1" applyAlignment="1" applyProtection="1">
      <alignment vertical="center"/>
      <protection hidden="1"/>
    </xf>
    <xf numFmtId="43" fontId="45" fillId="3" borderId="37" xfId="1" applyFont="1" applyFill="1" applyBorder="1" applyAlignment="1" applyProtection="1">
      <alignment vertical="center"/>
      <protection hidden="1"/>
    </xf>
    <xf numFmtId="0" fontId="45" fillId="3" borderId="13" xfId="3" applyFont="1" applyFill="1" applyBorder="1" applyAlignment="1">
      <alignment vertical="center"/>
    </xf>
    <xf numFmtId="43" fontId="45" fillId="3" borderId="24" xfId="1" applyFont="1" applyFill="1" applyBorder="1" applyAlignment="1" applyProtection="1">
      <alignment vertical="center"/>
      <protection hidden="1"/>
    </xf>
    <xf numFmtId="0" fontId="45" fillId="3" borderId="13" xfId="3" applyFont="1" applyFill="1" applyBorder="1" applyAlignment="1" applyProtection="1">
      <alignment horizontal="left" vertical="center"/>
      <protection hidden="1"/>
    </xf>
    <xf numFmtId="49" fontId="45" fillId="3" borderId="44" xfId="0" applyNumberFormat="1" applyFont="1" applyFill="1" applyBorder="1" applyAlignment="1" applyProtection="1">
      <alignment horizontal="center" vertical="center"/>
      <protection hidden="1"/>
    </xf>
    <xf numFmtId="2" fontId="45" fillId="3" borderId="12" xfId="0" applyNumberFormat="1" applyFont="1" applyFill="1" applyBorder="1" applyAlignment="1" applyProtection="1">
      <alignment horizontal="center" vertical="center"/>
      <protection hidden="1"/>
    </xf>
    <xf numFmtId="43" fontId="45" fillId="3" borderId="12" xfId="1" applyFont="1" applyFill="1" applyBorder="1" applyAlignment="1" applyProtection="1">
      <alignment vertical="center"/>
      <protection hidden="1"/>
    </xf>
    <xf numFmtId="43" fontId="45" fillId="3" borderId="45" xfId="1" applyFont="1" applyFill="1" applyBorder="1" applyAlignment="1" applyProtection="1">
      <alignment vertical="center"/>
      <protection hidden="1"/>
    </xf>
    <xf numFmtId="3" fontId="45" fillId="3" borderId="46" xfId="0" applyNumberFormat="1" applyFont="1" applyFill="1" applyBorder="1" applyAlignment="1" applyProtection="1">
      <alignment vertical="center"/>
      <protection hidden="1"/>
    </xf>
    <xf numFmtId="43" fontId="45" fillId="3" borderId="36" xfId="1" applyFont="1" applyFill="1" applyBorder="1" applyAlignment="1" applyProtection="1">
      <alignment vertical="center"/>
      <protection hidden="1"/>
    </xf>
    <xf numFmtId="43" fontId="45" fillId="3" borderId="47" xfId="1" applyFont="1" applyFill="1" applyBorder="1" applyAlignment="1" applyProtection="1">
      <alignment vertical="center"/>
      <protection hidden="1"/>
    </xf>
    <xf numFmtId="4" fontId="45" fillId="3" borderId="46" xfId="3" applyNumberFormat="1" applyFont="1" applyFill="1" applyBorder="1" applyAlignment="1" applyProtection="1">
      <alignment horizontal="center" vertical="center"/>
      <protection hidden="1"/>
    </xf>
    <xf numFmtId="4" fontId="45" fillId="3" borderId="48" xfId="3" applyNumberFormat="1" applyFont="1" applyFill="1" applyBorder="1" applyAlignment="1" applyProtection="1">
      <alignment horizontal="center" vertical="center"/>
      <protection hidden="1"/>
    </xf>
    <xf numFmtId="172" fontId="45" fillId="3" borderId="19" xfId="0" quotePrefix="1" applyNumberFormat="1" applyFont="1" applyFill="1" applyBorder="1" applyAlignment="1" applyProtection="1">
      <alignment horizontal="left" vertical="center"/>
      <protection hidden="1"/>
    </xf>
    <xf numFmtId="0" fontId="45" fillId="3" borderId="16" xfId="0" applyFont="1" applyFill="1" applyBorder="1" applyAlignment="1" applyProtection="1">
      <alignment horizontal="left" vertical="center"/>
      <protection hidden="1"/>
    </xf>
    <xf numFmtId="49" fontId="45" fillId="3" borderId="49" xfId="0" applyNumberFormat="1" applyFont="1" applyFill="1" applyBorder="1" applyAlignment="1" applyProtection="1">
      <alignment horizontal="center" vertical="center"/>
      <protection hidden="1"/>
    </xf>
    <xf numFmtId="2" fontId="45" fillId="3" borderId="50" xfId="0" applyNumberFormat="1" applyFont="1" applyFill="1" applyBorder="1" applyAlignment="1" applyProtection="1">
      <alignment horizontal="center" vertical="center"/>
      <protection hidden="1"/>
    </xf>
    <xf numFmtId="43" fontId="45" fillId="3" borderId="50" xfId="1" applyFont="1" applyFill="1" applyBorder="1" applyAlignment="1" applyProtection="1">
      <alignment vertical="center"/>
      <protection hidden="1"/>
    </xf>
    <xf numFmtId="43" fontId="45" fillId="3" borderId="51" xfId="1" applyFont="1" applyFill="1" applyBorder="1" applyAlignment="1" applyProtection="1">
      <alignment vertical="center"/>
      <protection hidden="1"/>
    </xf>
    <xf numFmtId="3" fontId="45" fillId="3" borderId="52" xfId="0" applyNumberFormat="1" applyFont="1" applyFill="1" applyBorder="1" applyAlignment="1" applyProtection="1">
      <alignment vertical="center"/>
      <protection hidden="1"/>
    </xf>
    <xf numFmtId="43" fontId="45" fillId="3" borderId="16" xfId="1" applyFont="1" applyFill="1" applyBorder="1" applyAlignment="1" applyProtection="1">
      <alignment vertical="center"/>
      <protection hidden="1"/>
    </xf>
    <xf numFmtId="43" fontId="45" fillId="3" borderId="53" xfId="1" applyFont="1" applyFill="1" applyBorder="1" applyAlignment="1" applyProtection="1">
      <alignment vertical="center"/>
      <protection hidden="1"/>
    </xf>
    <xf numFmtId="4" fontId="45" fillId="3" borderId="52" xfId="3" applyNumberFormat="1" applyFont="1" applyFill="1" applyBorder="1" applyAlignment="1" applyProtection="1">
      <alignment horizontal="center" vertical="center"/>
      <protection hidden="1"/>
    </xf>
    <xf numFmtId="4" fontId="45" fillId="3" borderId="18" xfId="3" applyNumberFormat="1" applyFont="1" applyFill="1" applyBorder="1" applyAlignment="1" applyProtection="1">
      <alignment horizontal="center" vertical="center"/>
      <protection hidden="1"/>
    </xf>
    <xf numFmtId="49" fontId="40" fillId="3" borderId="32" xfId="0" applyNumberFormat="1" applyFont="1" applyFill="1" applyBorder="1" applyAlignment="1" applyProtection="1">
      <alignment horizontal="center" vertical="center"/>
      <protection hidden="1"/>
    </xf>
    <xf numFmtId="43" fontId="40" fillId="3" borderId="32" xfId="1" applyFont="1" applyFill="1" applyBorder="1" applyAlignment="1" applyProtection="1">
      <alignment vertical="center"/>
      <protection hidden="1"/>
    </xf>
    <xf numFmtId="3" fontId="40" fillId="3" borderId="32" xfId="0" applyNumberFormat="1" applyFont="1" applyFill="1" applyBorder="1" applyAlignment="1" applyProtection="1">
      <alignment vertical="center"/>
      <protection hidden="1"/>
    </xf>
    <xf numFmtId="43" fontId="45" fillId="3" borderId="32" xfId="1" applyFont="1" applyFill="1" applyBorder="1" applyAlignment="1" applyProtection="1">
      <alignment vertical="center"/>
      <protection hidden="1"/>
    </xf>
    <xf numFmtId="43" fontId="45" fillId="3" borderId="9" xfId="1" applyFont="1" applyFill="1" applyBorder="1" applyAlignment="1" applyProtection="1">
      <alignment vertical="center"/>
      <protection hidden="1"/>
    </xf>
    <xf numFmtId="43" fontId="45" fillId="3" borderId="42" xfId="1" applyFont="1" applyFill="1" applyBorder="1" applyAlignment="1" applyProtection="1">
      <alignment vertical="center"/>
      <protection hidden="1"/>
    </xf>
    <xf numFmtId="3" fontId="45" fillId="3" borderId="43" xfId="0" applyNumberFormat="1" applyFont="1" applyFill="1" applyBorder="1" applyAlignment="1" applyProtection="1">
      <alignment vertical="center"/>
      <protection hidden="1"/>
    </xf>
    <xf numFmtId="49" fontId="48" fillId="3" borderId="22" xfId="0" applyNumberFormat="1" applyFont="1" applyFill="1" applyBorder="1" applyAlignment="1" applyProtection="1">
      <alignment horizontal="center" vertical="center"/>
      <protection hidden="1"/>
    </xf>
    <xf numFmtId="172" fontId="40" fillId="3" borderId="38" xfId="0" applyNumberFormat="1" applyFont="1" applyFill="1" applyBorder="1" applyAlignment="1" applyProtection="1">
      <alignment horizontal="left" vertical="center"/>
      <protection hidden="1"/>
    </xf>
    <xf numFmtId="0" fontId="40" fillId="3" borderId="2" xfId="0" applyNumberFormat="1" applyFont="1" applyFill="1" applyBorder="1" applyAlignment="1" applyProtection="1">
      <alignment horizontal="center" vertical="center"/>
      <protection hidden="1"/>
    </xf>
    <xf numFmtId="49" fontId="40" fillId="3" borderId="21" xfId="0" applyNumberFormat="1" applyFont="1" applyFill="1" applyBorder="1" applyAlignment="1" applyProtection="1">
      <alignment vertical="center"/>
      <protection hidden="1"/>
    </xf>
    <xf numFmtId="0" fontId="45" fillId="3" borderId="2" xfId="0" applyNumberFormat="1" applyFont="1" applyFill="1" applyBorder="1" applyAlignment="1" applyProtection="1">
      <alignment horizontal="center" vertical="center"/>
      <protection hidden="1"/>
    </xf>
    <xf numFmtId="2" fontId="40" fillId="3" borderId="2" xfId="0" applyNumberFormat="1" applyFont="1" applyFill="1" applyBorder="1" applyAlignment="1" applyProtection="1">
      <alignment horizontal="center" vertical="center"/>
      <protection hidden="1"/>
    </xf>
    <xf numFmtId="3" fontId="40" fillId="3" borderId="21" xfId="0" applyNumberFormat="1" applyFont="1" applyFill="1" applyBorder="1" applyAlignment="1" applyProtection="1">
      <alignment vertical="center"/>
      <protection hidden="1"/>
    </xf>
    <xf numFmtId="43" fontId="40" fillId="3" borderId="2" xfId="1" applyFont="1" applyFill="1" applyBorder="1" applyAlignment="1" applyProtection="1">
      <alignment vertical="center"/>
      <protection hidden="1"/>
    </xf>
    <xf numFmtId="172" fontId="40" fillId="3" borderId="31" xfId="0" applyNumberFormat="1" applyFont="1" applyFill="1" applyBorder="1" applyAlignment="1" applyProtection="1">
      <alignment horizontal="left" vertical="center"/>
      <protection hidden="1"/>
    </xf>
    <xf numFmtId="0" fontId="40" fillId="3" borderId="36" xfId="0" applyFont="1" applyFill="1" applyBorder="1" applyAlignment="1" applyProtection="1">
      <alignment horizontal="left" vertical="center"/>
      <protection hidden="1"/>
    </xf>
    <xf numFmtId="0" fontId="45" fillId="3" borderId="44" xfId="0" applyNumberFormat="1" applyFont="1" applyFill="1" applyBorder="1" applyAlignment="1" applyProtection="1">
      <alignment horizontal="center" vertical="center"/>
      <protection hidden="1"/>
    </xf>
    <xf numFmtId="2" fontId="40" fillId="3" borderId="12" xfId="0" applyNumberFormat="1" applyFont="1" applyFill="1" applyBorder="1" applyAlignment="1" applyProtection="1">
      <alignment horizontal="center" vertical="center"/>
      <protection hidden="1"/>
    </xf>
    <xf numFmtId="3" fontId="40" fillId="3" borderId="46" xfId="0" applyNumberFormat="1" applyFont="1" applyFill="1" applyBorder="1" applyAlignment="1" applyProtection="1">
      <alignment vertical="center"/>
      <protection hidden="1"/>
    </xf>
    <xf numFmtId="43" fontId="40" fillId="3" borderId="12" xfId="1" applyFont="1" applyFill="1" applyBorder="1" applyAlignment="1" applyProtection="1">
      <alignment vertical="center"/>
      <protection hidden="1"/>
    </xf>
    <xf numFmtId="49" fontId="40" fillId="3" borderId="32" xfId="0" applyNumberFormat="1" applyFont="1" applyFill="1" applyBorder="1" applyAlignment="1" applyProtection="1">
      <alignment vertical="center"/>
      <protection hidden="1"/>
    </xf>
    <xf numFmtId="4" fontId="45" fillId="3" borderId="32" xfId="3" applyNumberFormat="1" applyFont="1" applyFill="1" applyBorder="1" applyAlignment="1" applyProtection="1">
      <alignment horizontal="center" vertical="center"/>
      <protection hidden="1"/>
    </xf>
    <xf numFmtId="0" fontId="40" fillId="3" borderId="20" xfId="0" applyNumberFormat="1" applyFont="1" applyFill="1" applyBorder="1" applyAlignment="1" applyProtection="1">
      <alignment horizontal="center" vertical="center"/>
      <protection hidden="1"/>
    </xf>
    <xf numFmtId="43" fontId="40" fillId="3" borderId="22" xfId="1" applyFont="1" applyFill="1" applyBorder="1" applyAlignment="1" applyProtection="1">
      <alignment vertical="center"/>
      <protection hidden="1"/>
    </xf>
    <xf numFmtId="43" fontId="45" fillId="3" borderId="4" xfId="1" applyFont="1" applyFill="1" applyBorder="1" applyAlignment="1" applyProtection="1">
      <alignment vertical="center"/>
      <protection hidden="1"/>
    </xf>
    <xf numFmtId="2" fontId="45" fillId="3" borderId="54" xfId="0" applyNumberFormat="1" applyFont="1" applyFill="1" applyBorder="1" applyAlignment="1" applyProtection="1">
      <alignment vertical="center"/>
      <protection hidden="1"/>
    </xf>
    <xf numFmtId="43" fontId="45" fillId="3" borderId="54" xfId="1" applyFont="1" applyFill="1" applyBorder="1" applyAlignment="1" applyProtection="1">
      <alignment vertical="center"/>
      <protection hidden="1"/>
    </xf>
    <xf numFmtId="43" fontId="45" fillId="3" borderId="55" xfId="1" applyFont="1" applyFill="1" applyBorder="1" applyAlignment="1" applyProtection="1">
      <alignment vertical="center"/>
      <protection hidden="1"/>
    </xf>
    <xf numFmtId="4" fontId="45" fillId="3" borderId="54" xfId="3" applyNumberFormat="1" applyFont="1" applyFill="1" applyBorder="1" applyAlignment="1" applyProtection="1">
      <alignment horizontal="center" vertical="center"/>
      <protection hidden="1"/>
    </xf>
    <xf numFmtId="2" fontId="45" fillId="3" borderId="2" xfId="0" applyNumberFormat="1" applyFont="1" applyFill="1" applyBorder="1" applyAlignment="1" applyProtection="1">
      <alignment vertical="center"/>
      <protection hidden="1"/>
    </xf>
    <xf numFmtId="3" fontId="45" fillId="3" borderId="2" xfId="0" applyNumberFormat="1" applyFont="1" applyFill="1" applyBorder="1" applyAlignment="1" applyProtection="1">
      <alignment vertical="center"/>
      <protection hidden="1"/>
    </xf>
    <xf numFmtId="43" fontId="45" fillId="3" borderId="56" xfId="1" applyFont="1" applyFill="1" applyBorder="1" applyAlignment="1" applyProtection="1">
      <alignment vertical="center"/>
      <protection hidden="1"/>
    </xf>
    <xf numFmtId="4" fontId="45" fillId="3" borderId="39" xfId="3" applyNumberFormat="1" applyFont="1" applyFill="1" applyBorder="1" applyAlignment="1" applyProtection="1">
      <alignment horizontal="center" vertical="center"/>
      <protection hidden="1"/>
    </xf>
    <xf numFmtId="4" fontId="45" fillId="3" borderId="40" xfId="3" applyNumberFormat="1" applyFont="1" applyFill="1" applyBorder="1" applyAlignment="1" applyProtection="1">
      <alignment horizontal="center" vertical="center"/>
      <protection hidden="1"/>
    </xf>
    <xf numFmtId="4" fontId="45" fillId="3" borderId="9" xfId="3" applyNumberFormat="1" applyFont="1" applyFill="1" applyBorder="1" applyAlignment="1" applyProtection="1">
      <alignment horizontal="center" vertical="center"/>
      <protection hidden="1"/>
    </xf>
    <xf numFmtId="4" fontId="45" fillId="3" borderId="57" xfId="3" applyNumberFormat="1" applyFont="1" applyFill="1" applyBorder="1" applyAlignment="1" applyProtection="1">
      <alignment horizontal="center" vertical="center"/>
      <protection hidden="1"/>
    </xf>
    <xf numFmtId="4" fontId="45" fillId="3" borderId="2" xfId="3" applyNumberFormat="1" applyFont="1" applyFill="1" applyBorder="1" applyAlignment="1" applyProtection="1">
      <alignment horizontal="center" vertical="center"/>
      <protection hidden="1"/>
    </xf>
    <xf numFmtId="43" fontId="45" fillId="3" borderId="0" xfId="1" applyFont="1" applyFill="1" applyBorder="1" applyAlignment="1" applyProtection="1">
      <alignment vertical="center"/>
      <protection hidden="1"/>
    </xf>
    <xf numFmtId="0" fontId="45" fillId="3" borderId="22" xfId="0" applyFont="1" applyFill="1" applyBorder="1" applyAlignment="1" applyProtection="1">
      <protection hidden="1"/>
    </xf>
    <xf numFmtId="0" fontId="45" fillId="3" borderId="23" xfId="0" applyFont="1" applyFill="1" applyBorder="1" applyAlignment="1" applyProtection="1">
      <protection hidden="1"/>
    </xf>
    <xf numFmtId="172" fontId="45" fillId="3" borderId="20" xfId="0" applyNumberFormat="1" applyFont="1" applyFill="1" applyBorder="1" applyAlignment="1" applyProtection="1">
      <alignment horizontal="left" vertical="center"/>
      <protection hidden="1"/>
    </xf>
    <xf numFmtId="1" fontId="40" fillId="3" borderId="2" xfId="0" applyNumberFormat="1" applyFont="1" applyFill="1" applyBorder="1" applyAlignment="1" applyProtection="1">
      <alignment vertical="center"/>
      <protection hidden="1"/>
    </xf>
    <xf numFmtId="43" fontId="45" fillId="3" borderId="14" xfId="1" applyFont="1" applyFill="1" applyBorder="1" applyAlignment="1" applyProtection="1">
      <alignment vertical="center"/>
      <protection hidden="1"/>
    </xf>
    <xf numFmtId="4" fontId="45" fillId="3" borderId="38" xfId="3" applyNumberFormat="1" applyFont="1" applyFill="1" applyBorder="1" applyAlignment="1" applyProtection="1">
      <alignment horizontal="center" vertical="center"/>
      <protection hidden="1"/>
    </xf>
    <xf numFmtId="49" fontId="45" fillId="3" borderId="2" xfId="0" applyNumberFormat="1" applyFont="1" applyFill="1" applyBorder="1" applyAlignment="1" applyProtection="1">
      <alignment vertical="center"/>
      <protection hidden="1"/>
    </xf>
    <xf numFmtId="0" fontId="45" fillId="3" borderId="2" xfId="0" applyNumberFormat="1" applyFont="1" applyFill="1" applyBorder="1" applyAlignment="1" applyProtection="1">
      <alignment vertical="center"/>
      <protection hidden="1"/>
    </xf>
    <xf numFmtId="49" fontId="45" fillId="3" borderId="21" xfId="0" applyNumberFormat="1" applyFont="1" applyFill="1" applyBorder="1" applyAlignment="1" applyProtection="1">
      <alignment vertical="center"/>
      <protection hidden="1"/>
    </xf>
    <xf numFmtId="2" fontId="40" fillId="3" borderId="2" xfId="0" applyNumberFormat="1" applyFont="1" applyFill="1" applyBorder="1" applyAlignment="1" applyProtection="1">
      <alignment vertical="center"/>
      <protection hidden="1"/>
    </xf>
    <xf numFmtId="2" fontId="45" fillId="3" borderId="50" xfId="0" applyNumberFormat="1" applyFont="1" applyFill="1" applyBorder="1" applyAlignment="1" applyProtection="1">
      <alignment vertical="center"/>
      <protection hidden="1"/>
    </xf>
    <xf numFmtId="4" fontId="45" fillId="3" borderId="50" xfId="3" applyNumberFormat="1" applyFont="1" applyFill="1" applyBorder="1" applyAlignment="1" applyProtection="1">
      <alignment horizontal="center" vertical="center"/>
      <protection hidden="1"/>
    </xf>
    <xf numFmtId="2" fontId="45" fillId="3" borderId="12" xfId="0" applyNumberFormat="1" applyFont="1" applyFill="1" applyBorder="1" applyAlignment="1" applyProtection="1">
      <alignment vertical="center"/>
      <protection hidden="1"/>
    </xf>
    <xf numFmtId="3" fontId="45" fillId="3" borderId="12" xfId="0" applyNumberFormat="1" applyFont="1" applyFill="1" applyBorder="1" applyAlignment="1" applyProtection="1">
      <alignment vertical="center"/>
      <protection hidden="1"/>
    </xf>
    <xf numFmtId="4" fontId="45" fillId="3" borderId="31" xfId="3" applyNumberFormat="1" applyFont="1" applyFill="1" applyBorder="1" applyAlignment="1" applyProtection="1">
      <alignment horizontal="center" vertical="center"/>
      <protection hidden="1"/>
    </xf>
    <xf numFmtId="4" fontId="45" fillId="3" borderId="12" xfId="3" applyNumberFormat="1" applyFont="1" applyFill="1" applyBorder="1" applyAlignment="1" applyProtection="1">
      <alignment horizontal="center" vertical="center"/>
      <protection hidden="1"/>
    </xf>
    <xf numFmtId="0" fontId="45" fillId="3" borderId="38" xfId="0" applyNumberFormat="1" applyFont="1" applyFill="1" applyBorder="1" applyAlignment="1" applyProtection="1">
      <alignment horizontal="left" vertical="center"/>
      <protection hidden="1"/>
    </xf>
    <xf numFmtId="1" fontId="40" fillId="3" borderId="22" xfId="0" applyNumberFormat="1" applyFont="1" applyFill="1" applyBorder="1" applyAlignment="1" applyProtection="1">
      <alignment vertical="center"/>
      <protection hidden="1"/>
    </xf>
    <xf numFmtId="0" fontId="40" fillId="3" borderId="22" xfId="0" applyFont="1" applyFill="1" applyBorder="1" applyAlignment="1" applyProtection="1">
      <alignment horizontal="center"/>
      <protection hidden="1"/>
    </xf>
    <xf numFmtId="0" fontId="40" fillId="3" borderId="23" xfId="0" applyFont="1" applyFill="1" applyBorder="1" applyAlignment="1" applyProtection="1">
      <alignment horizontal="center"/>
      <protection hidden="1"/>
    </xf>
    <xf numFmtId="0" fontId="40" fillId="3" borderId="38" xfId="0" applyFont="1" applyFill="1" applyBorder="1" applyAlignment="1" applyProtection="1">
      <alignment horizontal="left" vertical="center"/>
      <protection hidden="1"/>
    </xf>
    <xf numFmtId="2" fontId="45" fillId="3" borderId="2" xfId="3" applyNumberFormat="1" applyFont="1" applyFill="1" applyBorder="1" applyAlignment="1" applyProtection="1">
      <alignment vertical="center"/>
      <protection hidden="1"/>
    </xf>
    <xf numFmtId="0" fontId="45" fillId="3" borderId="38" xfId="0" applyFont="1" applyFill="1" applyBorder="1" applyAlignment="1" applyProtection="1">
      <alignment horizontal="left" vertical="center"/>
      <protection hidden="1"/>
    </xf>
    <xf numFmtId="172" fontId="40" fillId="3" borderId="32" xfId="0" applyNumberFormat="1" applyFont="1" applyFill="1" applyBorder="1" applyAlignment="1" applyProtection="1">
      <alignment vertical="center"/>
      <protection hidden="1"/>
    </xf>
    <xf numFmtId="2" fontId="40" fillId="3" borderId="58" xfId="0" applyNumberFormat="1" applyFont="1" applyFill="1" applyBorder="1" applyAlignment="1" applyProtection="1">
      <alignment vertical="center"/>
      <protection hidden="1"/>
    </xf>
    <xf numFmtId="43" fontId="40" fillId="3" borderId="58" xfId="1" applyFont="1" applyFill="1" applyBorder="1" applyAlignment="1" applyProtection="1">
      <alignment vertical="center"/>
      <protection hidden="1"/>
    </xf>
    <xf numFmtId="43" fontId="45" fillId="3" borderId="58" xfId="1" applyFont="1" applyFill="1" applyBorder="1" applyAlignment="1" applyProtection="1">
      <alignment vertical="center"/>
      <protection hidden="1"/>
    </xf>
    <xf numFmtId="0" fontId="45" fillId="3" borderId="22" xfId="0" applyFont="1" applyFill="1" applyBorder="1" applyAlignment="1" applyProtection="1">
      <alignment horizontal="center"/>
      <protection hidden="1"/>
    </xf>
    <xf numFmtId="0" fontId="45" fillId="3" borderId="23" xfId="0" applyFont="1" applyFill="1" applyBorder="1" applyAlignment="1" applyProtection="1">
      <alignment horizontal="center"/>
      <protection hidden="1"/>
    </xf>
    <xf numFmtId="2" fontId="45" fillId="3" borderId="22" xfId="0" applyNumberFormat="1" applyFont="1" applyFill="1" applyBorder="1" applyAlignment="1" applyProtection="1">
      <alignment vertical="center"/>
      <protection hidden="1"/>
    </xf>
    <xf numFmtId="3" fontId="45" fillId="3" borderId="22" xfId="0" applyNumberFormat="1" applyFont="1" applyFill="1" applyBorder="1" applyAlignment="1" applyProtection="1">
      <alignment vertical="center"/>
      <protection hidden="1"/>
    </xf>
    <xf numFmtId="0" fontId="40" fillId="3" borderId="22" xfId="0" applyFont="1" applyFill="1" applyBorder="1" applyAlignment="1" applyProtection="1">
      <protection hidden="1"/>
    </xf>
    <xf numFmtId="0" fontId="40" fillId="3" borderId="23" xfId="0" applyFont="1" applyFill="1" applyBorder="1" applyAlignment="1" applyProtection="1">
      <protection hidden="1"/>
    </xf>
    <xf numFmtId="0" fontId="45" fillId="3" borderId="20" xfId="0" applyNumberFormat="1" applyFont="1" applyFill="1" applyBorder="1" applyAlignment="1" applyProtection="1">
      <alignment horizontal="left" vertical="center"/>
      <protection hidden="1"/>
    </xf>
    <xf numFmtId="43" fontId="45" fillId="0" borderId="2" xfId="1" applyFont="1" applyFill="1" applyBorder="1" applyAlignment="1" applyProtection="1">
      <alignment vertical="center"/>
      <protection hidden="1"/>
    </xf>
    <xf numFmtId="0" fontId="40" fillId="3" borderId="38" xfId="0" applyNumberFormat="1" applyFont="1" applyFill="1" applyBorder="1" applyAlignment="1" applyProtection="1">
      <alignment horizontal="left" vertical="center"/>
      <protection hidden="1"/>
    </xf>
    <xf numFmtId="0" fontId="45" fillId="3" borderId="31" xfId="0" applyNumberFormat="1" applyFont="1" applyFill="1" applyBorder="1" applyAlignment="1" applyProtection="1">
      <alignment horizontal="left" vertical="center"/>
      <protection hidden="1"/>
    </xf>
    <xf numFmtId="43" fontId="50" fillId="3" borderId="56" xfId="1" applyFont="1" applyFill="1" applyBorder="1" applyAlignment="1" applyProtection="1">
      <alignment vertical="center"/>
      <protection hidden="1"/>
    </xf>
    <xf numFmtId="43" fontId="50" fillId="3" borderId="0" xfId="1" applyFont="1" applyFill="1" applyBorder="1" applyAlignment="1" applyProtection="1">
      <alignment vertical="center"/>
      <protection hidden="1"/>
    </xf>
    <xf numFmtId="0" fontId="45" fillId="3" borderId="38" xfId="0" applyFont="1" applyFill="1" applyBorder="1" applyAlignment="1" applyProtection="1">
      <alignment horizontal="left"/>
      <protection hidden="1"/>
    </xf>
    <xf numFmtId="0" fontId="45" fillId="3" borderId="2" xfId="0" applyFont="1" applyFill="1" applyBorder="1" applyAlignment="1" applyProtection="1">
      <protection hidden="1"/>
    </xf>
    <xf numFmtId="0" fontId="45" fillId="3" borderId="0" xfId="0" applyFont="1" applyFill="1" applyBorder="1" applyAlignment="1" applyProtection="1">
      <protection hidden="1"/>
    </xf>
    <xf numFmtId="172" fontId="49" fillId="3" borderId="38" xfId="0" quotePrefix="1" applyNumberFormat="1" applyFont="1" applyFill="1" applyBorder="1" applyAlignment="1" applyProtection="1">
      <alignment horizontal="left" vertical="center"/>
      <protection hidden="1"/>
    </xf>
    <xf numFmtId="0" fontId="45" fillId="3" borderId="56" xfId="0" applyFont="1" applyFill="1" applyBorder="1" applyAlignment="1" applyProtection="1">
      <protection hidden="1"/>
    </xf>
    <xf numFmtId="2" fontId="45" fillId="3" borderId="21" xfId="0" applyNumberFormat="1" applyFont="1" applyFill="1" applyBorder="1" applyAlignment="1" applyProtection="1">
      <alignment vertical="center"/>
      <protection hidden="1"/>
    </xf>
    <xf numFmtId="43" fontId="45" fillId="3" borderId="56" xfId="1" applyFont="1" applyFill="1" applyBorder="1" applyAlignment="1"/>
    <xf numFmtId="43" fontId="41" fillId="3" borderId="56" xfId="1" applyFont="1" applyFill="1" applyBorder="1" applyAlignment="1"/>
    <xf numFmtId="172" fontId="49" fillId="3" borderId="20" xfId="0" applyNumberFormat="1" applyFont="1" applyFill="1" applyBorder="1" applyAlignment="1" applyProtection="1">
      <alignment horizontal="left" vertical="center"/>
      <protection hidden="1"/>
    </xf>
    <xf numFmtId="172" fontId="45" fillId="3" borderId="49" xfId="0" applyNumberFormat="1" applyFont="1" applyFill="1" applyBorder="1" applyAlignment="1" applyProtection="1">
      <alignment horizontal="left" vertical="center"/>
      <protection hidden="1"/>
    </xf>
    <xf numFmtId="2" fontId="45" fillId="3" borderId="52" xfId="0" applyNumberFormat="1" applyFont="1" applyFill="1" applyBorder="1" applyAlignment="1" applyProtection="1">
      <alignment vertical="center"/>
      <protection hidden="1"/>
    </xf>
    <xf numFmtId="43" fontId="41" fillId="3" borderId="59" xfId="1" applyFont="1" applyFill="1" applyBorder="1" applyAlignment="1"/>
    <xf numFmtId="4" fontId="45" fillId="3" borderId="51" xfId="3" applyNumberFormat="1" applyFont="1" applyFill="1" applyBorder="1" applyAlignment="1" applyProtection="1">
      <alignment horizontal="center" vertical="center"/>
      <protection hidden="1"/>
    </xf>
    <xf numFmtId="4" fontId="45" fillId="3" borderId="45" xfId="3" applyNumberFormat="1" applyFont="1" applyFill="1" applyBorder="1" applyAlignment="1" applyProtection="1">
      <alignment horizontal="center" vertical="center"/>
      <protection hidden="1"/>
    </xf>
    <xf numFmtId="0" fontId="51" fillId="3" borderId="4" xfId="0" applyFont="1" applyFill="1" applyBorder="1" applyProtection="1">
      <protection hidden="1"/>
    </xf>
    <xf numFmtId="0" fontId="43" fillId="3" borderId="4" xfId="0" applyFont="1" applyFill="1" applyBorder="1"/>
    <xf numFmtId="0" fontId="43" fillId="3" borderId="4" xfId="0" applyFont="1" applyFill="1" applyBorder="1" applyProtection="1">
      <protection hidden="1"/>
    </xf>
    <xf numFmtId="172" fontId="40" fillId="3" borderId="31" xfId="0" quotePrefix="1" applyNumberFormat="1" applyFont="1" applyFill="1" applyBorder="1" applyAlignment="1" applyProtection="1">
      <alignment horizontal="left" vertical="center"/>
      <protection hidden="1"/>
    </xf>
    <xf numFmtId="2" fontId="40" fillId="3" borderId="12" xfId="0" applyNumberFormat="1" applyFont="1" applyFill="1" applyBorder="1" applyAlignment="1" applyProtection="1">
      <alignment vertical="center"/>
      <protection hidden="1"/>
    </xf>
    <xf numFmtId="43" fontId="45" fillId="3" borderId="12" xfId="1" applyFont="1" applyFill="1" applyBorder="1" applyAlignment="1" applyProtection="1">
      <alignment horizontal="center" vertical="center"/>
      <protection hidden="1"/>
    </xf>
    <xf numFmtId="0" fontId="45" fillId="3" borderId="24" xfId="0" applyNumberFormat="1" applyFont="1" applyFill="1" applyBorder="1" applyAlignment="1" applyProtection="1">
      <alignment horizontal="right" vertical="center"/>
      <protection hidden="1"/>
    </xf>
    <xf numFmtId="2" fontId="45" fillId="3" borderId="9" xfId="0" applyNumberFormat="1" applyFont="1" applyFill="1" applyBorder="1" applyAlignment="1" applyProtection="1">
      <alignment vertical="center"/>
      <protection hidden="1"/>
    </xf>
    <xf numFmtId="43" fontId="45" fillId="3" borderId="40" xfId="1" applyFont="1" applyFill="1" applyBorder="1" applyAlignment="1" applyProtection="1">
      <alignment vertical="center"/>
      <protection hidden="1"/>
    </xf>
    <xf numFmtId="43" fontId="45" fillId="3" borderId="60" xfId="1" applyFont="1" applyFill="1" applyBorder="1" applyAlignment="1" applyProtection="1">
      <alignment vertical="center"/>
      <protection hidden="1"/>
    </xf>
    <xf numFmtId="172" fontId="45" fillId="3" borderId="2" xfId="0" quotePrefix="1" applyNumberFormat="1" applyFont="1" applyFill="1" applyBorder="1" applyAlignment="1" applyProtection="1">
      <alignment horizontal="left" vertical="center"/>
      <protection hidden="1"/>
    </xf>
    <xf numFmtId="172" fontId="46" fillId="6" borderId="3" xfId="0" applyNumberFormat="1" applyFont="1" applyFill="1" applyBorder="1" applyAlignment="1" applyProtection="1">
      <alignment horizontal="left" vertical="center"/>
      <protection hidden="1"/>
    </xf>
    <xf numFmtId="0" fontId="46" fillId="6" borderId="3" xfId="0" applyFont="1" applyFill="1" applyBorder="1" applyAlignment="1" applyProtection="1">
      <alignment horizontal="left" vertical="center"/>
      <protection hidden="1"/>
    </xf>
    <xf numFmtId="172" fontId="47" fillId="6" borderId="39" xfId="0" quotePrefix="1" applyNumberFormat="1" applyFont="1" applyFill="1" applyBorder="1" applyAlignment="1" applyProtection="1">
      <alignment horizontal="left" vertical="center"/>
      <protection hidden="1"/>
    </xf>
    <xf numFmtId="0" fontId="48" fillId="6" borderId="39" xfId="0" applyFont="1" applyFill="1" applyBorder="1" applyAlignment="1" applyProtection="1">
      <alignment horizontal="left" vertical="center"/>
      <protection hidden="1"/>
    </xf>
    <xf numFmtId="172" fontId="52" fillId="6" borderId="38" xfId="0" applyNumberFormat="1" applyFont="1" applyFill="1" applyBorder="1" applyAlignment="1" applyProtection="1">
      <alignment horizontal="left" vertical="center"/>
      <protection hidden="1"/>
    </xf>
    <xf numFmtId="0" fontId="40" fillId="6" borderId="38" xfId="0" applyFont="1" applyFill="1" applyBorder="1" applyAlignment="1" applyProtection="1">
      <alignment horizontal="left" vertical="center"/>
      <protection hidden="1"/>
    </xf>
    <xf numFmtId="172" fontId="47" fillId="6" borderId="38" xfId="0" applyNumberFormat="1" applyFont="1" applyFill="1" applyBorder="1" applyAlignment="1" applyProtection="1">
      <alignment horizontal="left" vertical="center"/>
      <protection hidden="1"/>
    </xf>
    <xf numFmtId="0" fontId="48" fillId="6" borderId="38" xfId="0" applyFont="1" applyFill="1" applyBorder="1" applyAlignment="1" applyProtection="1">
      <alignment horizontal="left" vertical="center"/>
      <protection hidden="1"/>
    </xf>
    <xf numFmtId="172" fontId="47" fillId="6" borderId="20" xfId="0" applyNumberFormat="1" applyFont="1" applyFill="1" applyBorder="1" applyAlignment="1" applyProtection="1">
      <alignment horizontal="left" vertical="center"/>
      <protection hidden="1"/>
    </xf>
    <xf numFmtId="172" fontId="47" fillId="6" borderId="31" xfId="0" applyNumberFormat="1" applyFont="1" applyFill="1" applyBorder="1" applyAlignment="1" applyProtection="1">
      <alignment horizontal="left" vertical="center"/>
      <protection hidden="1"/>
    </xf>
    <xf numFmtId="172" fontId="48" fillId="6" borderId="38" xfId="0" applyNumberFormat="1" applyFont="1" applyFill="1" applyBorder="1" applyAlignment="1" applyProtection="1">
      <alignment horizontal="left" vertical="center"/>
      <protection hidden="1"/>
    </xf>
    <xf numFmtId="172" fontId="39" fillId="6" borderId="38" xfId="0" quotePrefix="1" applyNumberFormat="1" applyFont="1" applyFill="1" applyBorder="1" applyAlignment="1" applyProtection="1">
      <alignment horizontal="left" vertical="center"/>
      <protection hidden="1"/>
    </xf>
    <xf numFmtId="172" fontId="47" fillId="6" borderId="38" xfId="0" quotePrefix="1" applyNumberFormat="1" applyFont="1" applyFill="1" applyBorder="1" applyAlignment="1" applyProtection="1">
      <alignment horizontal="left" vertical="center"/>
      <protection hidden="1"/>
    </xf>
    <xf numFmtId="172" fontId="39" fillId="6" borderId="37" xfId="0" applyNumberFormat="1" applyFont="1" applyFill="1" applyBorder="1" applyAlignment="1" applyProtection="1">
      <alignment horizontal="left" vertical="center"/>
      <protection hidden="1"/>
    </xf>
    <xf numFmtId="172" fontId="39" fillId="6" borderId="38" xfId="0" applyNumberFormat="1" applyFont="1" applyFill="1" applyBorder="1" applyAlignment="1" applyProtection="1">
      <alignment horizontal="left" vertical="center"/>
      <protection hidden="1"/>
    </xf>
    <xf numFmtId="172" fontId="39" fillId="6" borderId="31" xfId="0" applyNumberFormat="1" applyFont="1" applyFill="1" applyBorder="1" applyAlignment="1" applyProtection="1">
      <alignment horizontal="left" vertical="center"/>
      <protection hidden="1"/>
    </xf>
    <xf numFmtId="0" fontId="39" fillId="6" borderId="38" xfId="0" applyFont="1" applyFill="1" applyBorder="1" applyProtection="1">
      <protection hidden="1"/>
    </xf>
    <xf numFmtId="0" fontId="45" fillId="3" borderId="2" xfId="0" applyNumberFormat="1" applyFont="1" applyFill="1" applyBorder="1" applyAlignment="1" applyProtection="1">
      <alignment horizontal="left" vertical="center"/>
      <protection hidden="1"/>
    </xf>
    <xf numFmtId="43" fontId="45" fillId="3" borderId="5" xfId="1" applyFont="1" applyFill="1" applyBorder="1" applyAlignment="1" applyProtection="1">
      <alignment vertical="center"/>
      <protection hidden="1"/>
    </xf>
    <xf numFmtId="0" fontId="7" fillId="7" borderId="36"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46" xfId="0" applyFont="1" applyFill="1" applyBorder="1" applyAlignment="1">
      <alignment horizontal="center" vertical="center"/>
    </xf>
    <xf numFmtId="0" fontId="16" fillId="7" borderId="61" xfId="0" applyFont="1" applyFill="1" applyBorder="1"/>
    <xf numFmtId="0" fontId="7" fillId="7" borderId="13" xfId="0" applyFont="1" applyFill="1" applyBorder="1" applyAlignment="1">
      <alignment horizontal="right"/>
    </xf>
    <xf numFmtId="9" fontId="7" fillId="7" borderId="2" xfId="0" applyNumberFormat="1" applyFont="1" applyFill="1" applyBorder="1" applyAlignment="1">
      <alignment horizontal="right"/>
    </xf>
    <xf numFmtId="0" fontId="7" fillId="7" borderId="2" xfId="0" applyFont="1" applyFill="1" applyBorder="1" applyAlignment="1">
      <alignment horizontal="center"/>
    </xf>
    <xf numFmtId="0" fontId="9" fillId="7" borderId="2" xfId="0" applyFont="1" applyFill="1" applyBorder="1" applyAlignment="1">
      <alignment horizontal="center" vertical="center" wrapText="1"/>
    </xf>
    <xf numFmtId="2" fontId="9" fillId="7" borderId="13" xfId="0" applyNumberFormat="1" applyFont="1" applyFill="1" applyBorder="1" applyProtection="1">
      <protection hidden="1"/>
    </xf>
    <xf numFmtId="2" fontId="9" fillId="7" borderId="2" xfId="0" applyNumberFormat="1" applyFont="1" applyFill="1" applyBorder="1" applyProtection="1">
      <protection hidden="1"/>
    </xf>
    <xf numFmtId="0" fontId="6" fillId="7" borderId="25" xfId="0" applyFont="1" applyFill="1" applyBorder="1"/>
    <xf numFmtId="0" fontId="6" fillId="7" borderId="62" xfId="0" applyFont="1" applyFill="1" applyBorder="1" applyAlignment="1">
      <alignment horizontal="center"/>
    </xf>
    <xf numFmtId="174" fontId="17" fillId="7" borderId="63" xfId="0" quotePrefix="1" applyNumberFormat="1" applyFont="1" applyFill="1" applyBorder="1" applyProtection="1">
      <protection hidden="1"/>
    </xf>
    <xf numFmtId="0" fontId="9" fillId="7" borderId="0" xfId="0" applyFont="1" applyFill="1" applyBorder="1" applyAlignment="1" applyProtection="1">
      <alignment horizontal="right"/>
      <protection hidden="1"/>
    </xf>
    <xf numFmtId="43" fontId="9" fillId="7" borderId="64" xfId="1" applyFont="1" applyFill="1" applyBorder="1" applyProtection="1">
      <protection hidden="1"/>
    </xf>
    <xf numFmtId="4" fontId="45" fillId="3" borderId="22" xfId="0" applyNumberFormat="1" applyFont="1" applyFill="1" applyBorder="1" applyAlignment="1" applyProtection="1">
      <alignment horizontal="center" vertical="center"/>
      <protection hidden="1"/>
    </xf>
    <xf numFmtId="43" fontId="45" fillId="3" borderId="22" xfId="1" applyFont="1" applyFill="1" applyBorder="1" applyAlignment="1" applyProtection="1">
      <alignment horizontal="center" vertical="center"/>
      <protection hidden="1"/>
    </xf>
    <xf numFmtId="172" fontId="45" fillId="3" borderId="38" xfId="0" applyNumberFormat="1" applyFont="1" applyFill="1" applyBorder="1" applyAlignment="1" applyProtection="1">
      <alignment horizontal="left" vertical="center"/>
      <protection hidden="1"/>
    </xf>
    <xf numFmtId="3" fontId="45" fillId="3" borderId="2" xfId="0" applyNumberFormat="1" applyFont="1" applyFill="1" applyBorder="1" applyAlignment="1" applyProtection="1">
      <alignment horizontal="center" vertical="center"/>
      <protection hidden="1"/>
    </xf>
    <xf numFmtId="172" fontId="47" fillId="6" borderId="39" xfId="0" applyNumberFormat="1" applyFont="1" applyFill="1" applyBorder="1" applyAlignment="1" applyProtection="1">
      <alignment horizontal="left" vertical="center"/>
      <protection hidden="1"/>
    </xf>
    <xf numFmtId="49" fontId="40" fillId="3" borderId="10" xfId="0" applyNumberFormat="1" applyFont="1" applyFill="1" applyBorder="1" applyAlignment="1" applyProtection="1">
      <alignment horizontal="center" vertical="center"/>
      <protection hidden="1"/>
    </xf>
    <xf numFmtId="43" fontId="45" fillId="3" borderId="10" xfId="1" applyFont="1" applyFill="1" applyBorder="1" applyAlignment="1" applyProtection="1">
      <alignment vertical="center"/>
      <protection hidden="1"/>
    </xf>
    <xf numFmtId="49" fontId="40" fillId="0" borderId="2" xfId="0" applyNumberFormat="1" applyFont="1" applyFill="1" applyBorder="1" applyAlignment="1" applyProtection="1">
      <alignment horizontal="center" vertical="center"/>
      <protection hidden="1"/>
    </xf>
    <xf numFmtId="3" fontId="40" fillId="0" borderId="2" xfId="0" applyNumberFormat="1" applyFont="1" applyFill="1" applyBorder="1" applyAlignment="1" applyProtection="1">
      <alignment vertical="center"/>
      <protection hidden="1"/>
    </xf>
    <xf numFmtId="0" fontId="18" fillId="0" borderId="2" xfId="0" applyFont="1" applyFill="1" applyBorder="1" applyAlignment="1">
      <alignment horizontal="left"/>
    </xf>
    <xf numFmtId="172" fontId="45" fillId="3" borderId="44" xfId="0" applyNumberFormat="1" applyFont="1" applyFill="1" applyBorder="1" applyAlignment="1" applyProtection="1">
      <alignment horizontal="left" vertical="center"/>
      <protection hidden="1"/>
    </xf>
    <xf numFmtId="1" fontId="40" fillId="3" borderId="12" xfId="0" applyNumberFormat="1" applyFont="1" applyFill="1" applyBorder="1" applyAlignment="1" applyProtection="1">
      <alignment vertical="center"/>
      <protection hidden="1"/>
    </xf>
    <xf numFmtId="43" fontId="45" fillId="3" borderId="45" xfId="1" applyFont="1" applyFill="1" applyBorder="1" applyAlignment="1" applyProtection="1">
      <alignment horizontal="center" vertical="center"/>
      <protection hidden="1"/>
    </xf>
    <xf numFmtId="1" fontId="40" fillId="3" borderId="46" xfId="0" applyNumberFormat="1" applyFont="1" applyFill="1" applyBorder="1" applyAlignment="1" applyProtection="1">
      <alignment vertical="center"/>
      <protection hidden="1"/>
    </xf>
    <xf numFmtId="0" fontId="19" fillId="0" borderId="2" xfId="0" applyFont="1" applyFill="1" applyBorder="1"/>
    <xf numFmtId="172" fontId="52" fillId="0" borderId="2" xfId="0" applyNumberFormat="1" applyFont="1" applyFill="1" applyBorder="1" applyAlignment="1" applyProtection="1">
      <alignment horizontal="left" vertical="center"/>
      <protection hidden="1"/>
    </xf>
    <xf numFmtId="43" fontId="45" fillId="0" borderId="0" xfId="1" applyFont="1" applyFill="1" applyBorder="1" applyAlignment="1" applyProtection="1">
      <alignment vertical="center"/>
      <protection hidden="1"/>
    </xf>
    <xf numFmtId="43" fontId="45" fillId="3" borderId="40" xfId="1" applyFont="1" applyFill="1" applyBorder="1" applyAlignment="1" applyProtection="1">
      <alignment horizontal="center" vertical="center"/>
      <protection hidden="1"/>
    </xf>
    <xf numFmtId="43" fontId="45" fillId="3" borderId="65" xfId="1" applyFont="1" applyFill="1" applyBorder="1" applyAlignment="1" applyProtection="1">
      <alignment horizontal="center" vertical="center"/>
      <protection hidden="1"/>
    </xf>
    <xf numFmtId="4" fontId="45" fillId="3" borderId="43" xfId="3" applyNumberFormat="1" applyFont="1" applyFill="1" applyBorder="1" applyAlignment="1" applyProtection="1">
      <alignment horizontal="center" vertical="center"/>
      <protection hidden="1"/>
    </xf>
    <xf numFmtId="43" fontId="48" fillId="3" borderId="32" xfId="1" applyFont="1" applyFill="1" applyBorder="1" applyAlignment="1" applyProtection="1">
      <alignment vertical="center"/>
      <protection hidden="1"/>
    </xf>
    <xf numFmtId="49" fontId="48" fillId="3" borderId="10" xfId="0" applyNumberFormat="1" applyFont="1" applyFill="1" applyBorder="1" applyAlignment="1" applyProtection="1">
      <alignment horizontal="center" vertical="center"/>
      <protection hidden="1"/>
    </xf>
    <xf numFmtId="49" fontId="48" fillId="3" borderId="10" xfId="0" applyNumberFormat="1" applyFont="1" applyFill="1" applyBorder="1" applyAlignment="1" applyProtection="1">
      <alignment vertical="center"/>
      <protection hidden="1"/>
    </xf>
    <xf numFmtId="3" fontId="48" fillId="3" borderId="10" xfId="0" applyNumberFormat="1" applyFont="1" applyFill="1" applyBorder="1" applyAlignment="1" applyProtection="1">
      <alignment vertical="center"/>
      <protection hidden="1"/>
    </xf>
    <xf numFmtId="43" fontId="48" fillId="3" borderId="10" xfId="1" applyFont="1" applyFill="1" applyBorder="1" applyAlignment="1" applyProtection="1">
      <alignment vertical="center"/>
      <protection hidden="1"/>
    </xf>
    <xf numFmtId="4" fontId="45" fillId="3" borderId="10" xfId="3" applyNumberFormat="1" applyFont="1" applyFill="1" applyBorder="1" applyAlignment="1" applyProtection="1">
      <alignment horizontal="center" vertical="center"/>
      <protection hidden="1"/>
    </xf>
    <xf numFmtId="4" fontId="45" fillId="3" borderId="9" xfId="0" applyNumberFormat="1" applyFont="1" applyFill="1" applyBorder="1" applyAlignment="1" applyProtection="1">
      <alignment horizontal="center" vertical="center"/>
      <protection hidden="1"/>
    </xf>
    <xf numFmtId="4" fontId="45" fillId="3" borderId="42" xfId="3" applyNumberFormat="1" applyFont="1" applyFill="1" applyBorder="1" applyAlignment="1" applyProtection="1">
      <alignment horizontal="center" vertical="center"/>
      <protection hidden="1"/>
    </xf>
    <xf numFmtId="4" fontId="45" fillId="3" borderId="12" xfId="0" applyNumberFormat="1" applyFont="1" applyFill="1" applyBorder="1" applyAlignment="1" applyProtection="1">
      <alignment horizontal="center" vertical="center"/>
      <protection hidden="1"/>
    </xf>
    <xf numFmtId="3" fontId="45" fillId="3" borderId="12" xfId="0" applyNumberFormat="1" applyFont="1" applyFill="1" applyBorder="1" applyAlignment="1" applyProtection="1">
      <alignment horizontal="center" vertical="center"/>
      <protection hidden="1"/>
    </xf>
    <xf numFmtId="43" fontId="45" fillId="3" borderId="36" xfId="1" applyFont="1" applyFill="1" applyBorder="1" applyAlignment="1" applyProtection="1">
      <alignment horizontal="center" vertical="center"/>
      <protection hidden="1"/>
    </xf>
    <xf numFmtId="43" fontId="45" fillId="3" borderId="47" xfId="1" applyFont="1" applyFill="1" applyBorder="1" applyAlignment="1" applyProtection="1">
      <alignment horizontal="center" vertical="center"/>
      <protection hidden="1"/>
    </xf>
    <xf numFmtId="3" fontId="45" fillId="3" borderId="22" xfId="0" applyNumberFormat="1" applyFont="1" applyFill="1" applyBorder="1" applyAlignment="1" applyProtection="1">
      <alignment horizontal="center" vertical="center"/>
      <protection hidden="1"/>
    </xf>
    <xf numFmtId="43" fontId="45" fillId="3" borderId="65" xfId="1" applyFont="1" applyFill="1" applyBorder="1" applyAlignment="1" applyProtection="1">
      <alignment vertical="center"/>
      <protection hidden="1"/>
    </xf>
    <xf numFmtId="0" fontId="40" fillId="3" borderId="41" xfId="0" applyNumberFormat="1" applyFont="1" applyFill="1" applyBorder="1" applyAlignment="1" applyProtection="1">
      <alignment horizontal="center" vertical="center"/>
      <protection hidden="1"/>
    </xf>
    <xf numFmtId="0" fontId="40" fillId="3" borderId="9" xfId="0" applyNumberFormat="1" applyFont="1" applyFill="1" applyBorder="1" applyAlignment="1" applyProtection="1">
      <alignment horizontal="center" vertical="center"/>
      <protection hidden="1"/>
    </xf>
    <xf numFmtId="49" fontId="40" fillId="3" borderId="43" xfId="0" applyNumberFormat="1" applyFont="1" applyFill="1" applyBorder="1" applyAlignment="1" applyProtection="1">
      <alignment vertical="center"/>
      <protection hidden="1"/>
    </xf>
    <xf numFmtId="49" fontId="40" fillId="0" borderId="12" xfId="0" applyNumberFormat="1" applyFont="1" applyFill="1" applyBorder="1" applyAlignment="1" applyProtection="1">
      <alignment horizontal="center" vertical="center"/>
      <protection hidden="1"/>
    </xf>
    <xf numFmtId="43" fontId="45" fillId="0" borderId="12" xfId="1" applyFont="1" applyFill="1" applyBorder="1" applyAlignment="1" applyProtection="1">
      <alignment vertical="center"/>
      <protection hidden="1"/>
    </xf>
    <xf numFmtId="3" fontId="40" fillId="0" borderId="12" xfId="0" applyNumberFormat="1" applyFont="1" applyFill="1" applyBorder="1" applyAlignment="1" applyProtection="1">
      <alignment vertical="center"/>
      <protection hidden="1"/>
    </xf>
    <xf numFmtId="49" fontId="40" fillId="3" borderId="10" xfId="0" applyNumberFormat="1" applyFont="1" applyFill="1" applyBorder="1" applyAlignment="1" applyProtection="1">
      <alignment vertical="center"/>
      <protection hidden="1"/>
    </xf>
    <xf numFmtId="49" fontId="45" fillId="3" borderId="41" xfId="0" applyNumberFormat="1" applyFont="1" applyFill="1" applyBorder="1" applyAlignment="1" applyProtection="1">
      <alignment horizontal="center" vertical="center"/>
      <protection hidden="1"/>
    </xf>
    <xf numFmtId="3" fontId="45" fillId="3" borderId="9" xfId="0" applyNumberFormat="1" applyFont="1" applyFill="1" applyBorder="1" applyAlignment="1" applyProtection="1">
      <alignment vertical="center"/>
      <protection hidden="1"/>
    </xf>
    <xf numFmtId="49" fontId="45" fillId="0" borderId="12" xfId="0" applyNumberFormat="1" applyFont="1" applyFill="1" applyBorder="1" applyAlignment="1" applyProtection="1">
      <alignment vertical="center"/>
      <protection hidden="1"/>
    </xf>
    <xf numFmtId="49" fontId="45" fillId="0" borderId="12" xfId="0" applyNumberFormat="1" applyFont="1" applyFill="1" applyBorder="1" applyAlignment="1" applyProtection="1">
      <alignment horizontal="right" vertical="center"/>
      <protection hidden="1"/>
    </xf>
    <xf numFmtId="4" fontId="45" fillId="3" borderId="36" xfId="3" applyNumberFormat="1" applyFont="1" applyFill="1" applyBorder="1" applyAlignment="1" applyProtection="1">
      <alignment horizontal="center" vertical="center"/>
      <protection hidden="1"/>
    </xf>
    <xf numFmtId="4" fontId="45" fillId="3" borderId="14" xfId="3" applyNumberFormat="1" applyFont="1" applyFill="1" applyBorder="1" applyAlignment="1" applyProtection="1">
      <alignment horizontal="center" vertical="center"/>
      <protection hidden="1"/>
    </xf>
    <xf numFmtId="0" fontId="18" fillId="0" borderId="0" xfId="0" applyFont="1" applyFill="1" applyBorder="1" applyAlignment="1">
      <alignment horizontal="left"/>
    </xf>
    <xf numFmtId="172" fontId="46" fillId="3" borderId="38" xfId="0" quotePrefix="1" applyNumberFormat="1" applyFont="1" applyFill="1" applyBorder="1" applyAlignment="1" applyProtection="1">
      <alignment horizontal="left" vertical="center"/>
      <protection hidden="1"/>
    </xf>
    <xf numFmtId="172" fontId="45" fillId="0" borderId="2" xfId="0" applyNumberFormat="1" applyFont="1" applyFill="1" applyBorder="1" applyAlignment="1" applyProtection="1">
      <alignment horizontal="left" vertical="center"/>
      <protection hidden="1"/>
    </xf>
    <xf numFmtId="0" fontId="45" fillId="3" borderId="2" xfId="0" applyFont="1" applyFill="1" applyBorder="1" applyAlignment="1">
      <alignment horizontal="left"/>
    </xf>
    <xf numFmtId="3" fontId="40" fillId="3" borderId="22" xfId="0" applyNumberFormat="1" applyFont="1" applyFill="1" applyBorder="1" applyAlignment="1" applyProtection="1">
      <alignment vertical="center"/>
      <protection hidden="1"/>
    </xf>
    <xf numFmtId="4" fontId="45" fillId="3" borderId="22" xfId="3" applyNumberFormat="1" applyFont="1" applyFill="1" applyBorder="1" applyAlignment="1" applyProtection="1">
      <alignment vertical="center"/>
      <protection hidden="1"/>
    </xf>
    <xf numFmtId="4" fontId="45" fillId="3" borderId="23" xfId="3" applyNumberFormat="1" applyFont="1" applyFill="1" applyBorder="1" applyAlignment="1" applyProtection="1">
      <alignment vertical="center"/>
      <protection hidden="1"/>
    </xf>
    <xf numFmtId="172" fontId="47" fillId="6" borderId="66" xfId="0" applyNumberFormat="1" applyFont="1" applyFill="1" applyBorder="1" applyAlignment="1" applyProtection="1">
      <alignment horizontal="left" vertical="center"/>
      <protection hidden="1"/>
    </xf>
    <xf numFmtId="0" fontId="40" fillId="6" borderId="66" xfId="0" applyFont="1" applyFill="1" applyBorder="1" applyAlignment="1" applyProtection="1">
      <alignment horizontal="left" vertical="center"/>
      <protection hidden="1"/>
    </xf>
    <xf numFmtId="49" fontId="40" fillId="3" borderId="66" xfId="0" applyNumberFormat="1" applyFont="1" applyFill="1" applyBorder="1" applyAlignment="1" applyProtection="1">
      <alignment horizontal="center" vertical="center"/>
      <protection hidden="1"/>
    </xf>
    <xf numFmtId="49" fontId="40" fillId="3" borderId="58" xfId="0" applyNumberFormat="1" applyFont="1" applyFill="1" applyBorder="1" applyAlignment="1" applyProtection="1">
      <alignment horizontal="center" vertical="center"/>
      <protection hidden="1"/>
    </xf>
    <xf numFmtId="49" fontId="40" fillId="3" borderId="58" xfId="0" applyNumberFormat="1" applyFont="1" applyFill="1" applyBorder="1" applyAlignment="1" applyProtection="1">
      <alignment vertical="center"/>
      <protection hidden="1"/>
    </xf>
    <xf numFmtId="4" fontId="45" fillId="3" borderId="58" xfId="3" applyNumberFormat="1" applyFont="1" applyFill="1" applyBorder="1" applyAlignment="1" applyProtection="1">
      <alignment horizontal="center" vertical="center"/>
      <protection hidden="1"/>
    </xf>
    <xf numFmtId="4" fontId="45" fillId="3" borderId="67" xfId="3" applyNumberFormat="1" applyFont="1" applyFill="1" applyBorder="1" applyAlignment="1" applyProtection="1">
      <alignment horizontal="center" vertical="center"/>
      <protection hidden="1"/>
    </xf>
    <xf numFmtId="172" fontId="39" fillId="6" borderId="3" xfId="0" applyNumberFormat="1" applyFont="1" applyFill="1" applyBorder="1" applyAlignment="1" applyProtection="1">
      <alignment horizontal="left" vertical="center"/>
      <protection hidden="1"/>
    </xf>
    <xf numFmtId="49" fontId="45" fillId="3" borderId="58" xfId="0" applyNumberFormat="1" applyFont="1" applyFill="1" applyBorder="1" applyAlignment="1" applyProtection="1">
      <alignment horizontal="center" vertical="center"/>
      <protection hidden="1"/>
    </xf>
    <xf numFmtId="49" fontId="45" fillId="3" borderId="58" xfId="0" applyNumberFormat="1" applyFont="1" applyFill="1" applyBorder="1" applyAlignment="1" applyProtection="1">
      <alignment vertical="center"/>
      <protection hidden="1"/>
    </xf>
    <xf numFmtId="49" fontId="45" fillId="3" borderId="4" xfId="0" applyNumberFormat="1" applyFont="1" applyFill="1" applyBorder="1" applyAlignment="1" applyProtection="1">
      <alignment vertical="center"/>
      <protection hidden="1"/>
    </xf>
    <xf numFmtId="172" fontId="39" fillId="6" borderId="65" xfId="0" applyNumberFormat="1" applyFont="1" applyFill="1" applyBorder="1" applyAlignment="1" applyProtection="1">
      <alignment horizontal="left" vertical="center"/>
      <protection hidden="1"/>
    </xf>
    <xf numFmtId="1" fontId="47" fillId="3" borderId="0" xfId="0" applyNumberFormat="1" applyFont="1" applyFill="1" applyBorder="1" applyAlignment="1" applyProtection="1">
      <alignment vertical="center"/>
      <protection hidden="1"/>
    </xf>
    <xf numFmtId="0" fontId="47" fillId="3" borderId="0" xfId="0" applyFont="1" applyFill="1" applyBorder="1" applyAlignment="1" applyProtection="1">
      <protection hidden="1"/>
    </xf>
    <xf numFmtId="0" fontId="47" fillId="3" borderId="14" xfId="0" applyFont="1" applyFill="1" applyBorder="1" applyAlignment="1" applyProtection="1">
      <protection hidden="1"/>
    </xf>
    <xf numFmtId="4" fontId="45" fillId="3" borderId="5" xfId="3" applyNumberFormat="1" applyFont="1" applyFill="1" applyBorder="1" applyAlignment="1" applyProtection="1">
      <alignment horizontal="center" vertical="center"/>
      <protection hidden="1"/>
    </xf>
    <xf numFmtId="4" fontId="45" fillId="3" borderId="61" xfId="3" applyNumberFormat="1" applyFont="1" applyFill="1" applyBorder="1" applyAlignment="1" applyProtection="1">
      <alignment horizontal="center" vertical="center"/>
      <protection hidden="1"/>
    </xf>
    <xf numFmtId="4" fontId="45" fillId="3" borderId="68" xfId="3" applyNumberFormat="1" applyFont="1" applyFill="1" applyBorder="1" applyAlignment="1" applyProtection="1">
      <alignment horizontal="center" vertical="center"/>
      <protection hidden="1"/>
    </xf>
    <xf numFmtId="43" fontId="45" fillId="6" borderId="2" xfId="1" applyFont="1" applyFill="1" applyBorder="1" applyAlignment="1" applyProtection="1">
      <alignment vertical="center"/>
      <protection hidden="1"/>
    </xf>
    <xf numFmtId="4" fontId="45" fillId="3" borderId="13" xfId="3" applyNumberFormat="1" applyFont="1" applyFill="1" applyBorder="1" applyAlignment="1" applyProtection="1">
      <alignment horizontal="center" vertical="center"/>
      <protection hidden="1"/>
    </xf>
    <xf numFmtId="172" fontId="47" fillId="3" borderId="10" xfId="0" applyNumberFormat="1" applyFont="1" applyFill="1" applyBorder="1" applyAlignment="1" applyProtection="1">
      <alignment vertical="center"/>
      <protection hidden="1"/>
    </xf>
    <xf numFmtId="43" fontId="47" fillId="3" borderId="10" xfId="1" applyFont="1" applyFill="1" applyBorder="1" applyAlignment="1" applyProtection="1">
      <alignment vertical="center"/>
      <protection hidden="1"/>
    </xf>
    <xf numFmtId="1" fontId="47" fillId="3" borderId="10" xfId="0" applyNumberFormat="1" applyFont="1" applyFill="1" applyBorder="1" applyAlignment="1" applyProtection="1">
      <alignment vertical="center"/>
      <protection hidden="1"/>
    </xf>
    <xf numFmtId="0" fontId="40" fillId="3" borderId="10" xfId="0" applyFont="1" applyFill="1" applyBorder="1" applyAlignment="1" applyProtection="1">
      <protection hidden="1"/>
    </xf>
    <xf numFmtId="0" fontId="40" fillId="3" borderId="57" xfId="0" applyFont="1" applyFill="1" applyBorder="1" applyAlignment="1" applyProtection="1">
      <protection hidden="1"/>
    </xf>
    <xf numFmtId="0" fontId="45" fillId="3" borderId="22" xfId="0" applyNumberFormat="1" applyFont="1" applyFill="1" applyBorder="1" applyAlignment="1" applyProtection="1">
      <alignment horizontal="center" vertical="center"/>
      <protection hidden="1"/>
    </xf>
    <xf numFmtId="0" fontId="45" fillId="3" borderId="46" xfId="0" applyNumberFormat="1" applyFont="1" applyFill="1" applyBorder="1" applyAlignment="1" applyProtection="1">
      <alignment horizontal="center" vertical="center"/>
      <protection hidden="1"/>
    </xf>
    <xf numFmtId="0" fontId="45" fillId="3" borderId="21" xfId="0" applyNumberFormat="1" applyFont="1" applyFill="1" applyBorder="1" applyAlignment="1" applyProtection="1">
      <alignment horizontal="center" vertical="center"/>
      <protection hidden="1"/>
    </xf>
    <xf numFmtId="0" fontId="45" fillId="3" borderId="23" xfId="0" applyFont="1" applyFill="1" applyBorder="1" applyAlignment="1" applyProtection="1">
      <alignment horizontal="left" vertical="center" wrapText="1"/>
      <protection hidden="1"/>
    </xf>
    <xf numFmtId="0" fontId="48" fillId="6" borderId="37" xfId="0" applyFont="1" applyFill="1" applyBorder="1" applyAlignment="1" applyProtection="1">
      <alignment horizontal="left" vertical="center"/>
      <protection hidden="1"/>
    </xf>
    <xf numFmtId="0" fontId="40" fillId="6" borderId="24" xfId="0" applyFont="1" applyFill="1" applyBorder="1" applyAlignment="1" applyProtection="1">
      <alignment horizontal="left" vertical="center"/>
      <protection hidden="1"/>
    </xf>
    <xf numFmtId="0" fontId="40" fillId="6" borderId="37" xfId="0" applyFont="1" applyFill="1" applyBorder="1" applyAlignment="1" applyProtection="1">
      <alignment horizontal="left" vertical="center"/>
      <protection hidden="1"/>
    </xf>
    <xf numFmtId="49" fontId="40" fillId="0" borderId="46" xfId="0" applyNumberFormat="1" applyFont="1" applyFill="1" applyBorder="1" applyAlignment="1" applyProtection="1">
      <alignment horizontal="center" vertical="center"/>
      <protection hidden="1"/>
    </xf>
    <xf numFmtId="49" fontId="40" fillId="0" borderId="21" xfId="0" applyNumberFormat="1" applyFont="1" applyFill="1" applyBorder="1" applyAlignment="1" applyProtection="1">
      <alignment horizontal="center" vertical="center"/>
      <protection hidden="1"/>
    </xf>
    <xf numFmtId="49" fontId="45" fillId="3" borderId="21" xfId="0" applyNumberFormat="1" applyFont="1" applyFill="1" applyBorder="1" applyAlignment="1" applyProtection="1">
      <alignment horizontal="center" vertical="center"/>
      <protection hidden="1"/>
    </xf>
    <xf numFmtId="0" fontId="45" fillId="3" borderId="43" xfId="0" applyNumberFormat="1" applyFont="1" applyFill="1" applyBorder="1" applyAlignment="1" applyProtection="1">
      <alignment horizontal="center" vertical="center"/>
      <protection hidden="1"/>
    </xf>
    <xf numFmtId="172" fontId="47" fillId="3" borderId="10" xfId="0" applyNumberFormat="1" applyFont="1" applyFill="1" applyBorder="1" applyAlignment="1" applyProtection="1">
      <alignment horizontal="center" vertical="center"/>
      <protection hidden="1"/>
    </xf>
    <xf numFmtId="1" fontId="47" fillId="3" borderId="0" xfId="0" applyNumberFormat="1" applyFont="1" applyFill="1" applyBorder="1" applyAlignment="1" applyProtection="1">
      <alignment horizontal="center" vertical="center"/>
      <protection hidden="1"/>
    </xf>
    <xf numFmtId="49" fontId="45" fillId="3" borderId="46" xfId="0" applyNumberFormat="1" applyFont="1" applyFill="1" applyBorder="1" applyAlignment="1" applyProtection="1">
      <alignment horizontal="center" vertical="center"/>
      <protection hidden="1"/>
    </xf>
    <xf numFmtId="49" fontId="45" fillId="3" borderId="43" xfId="0" applyNumberFormat="1" applyFont="1" applyFill="1" applyBorder="1" applyAlignment="1" applyProtection="1">
      <alignment horizontal="center" vertical="center"/>
      <protection hidden="1"/>
    </xf>
    <xf numFmtId="49" fontId="45" fillId="0" borderId="46" xfId="0" applyNumberFormat="1" applyFont="1" applyFill="1" applyBorder="1" applyAlignment="1" applyProtection="1">
      <alignment horizontal="center" vertical="center"/>
      <protection hidden="1"/>
    </xf>
    <xf numFmtId="1" fontId="40" fillId="3" borderId="46" xfId="0" applyNumberFormat="1" applyFont="1" applyFill="1" applyBorder="1" applyAlignment="1" applyProtection="1">
      <alignment horizontal="center" vertical="center"/>
      <protection hidden="1"/>
    </xf>
    <xf numFmtId="0" fontId="40" fillId="3" borderId="21" xfId="0" applyNumberFormat="1" applyFont="1" applyFill="1" applyBorder="1" applyAlignment="1" applyProtection="1">
      <alignment horizontal="center" vertical="center"/>
      <protection hidden="1"/>
    </xf>
    <xf numFmtId="0" fontId="40" fillId="3" borderId="46" xfId="0" applyNumberFormat="1" applyFont="1" applyFill="1" applyBorder="1" applyAlignment="1" applyProtection="1">
      <alignment horizontal="center" vertical="center"/>
      <protection hidden="1"/>
    </xf>
    <xf numFmtId="1" fontId="45" fillId="3" borderId="21" xfId="0" applyNumberFormat="1" applyFont="1" applyFill="1" applyBorder="1" applyAlignment="1" applyProtection="1">
      <alignment horizontal="center" vertical="center"/>
      <protection hidden="1"/>
    </xf>
    <xf numFmtId="1" fontId="40" fillId="3" borderId="22" xfId="0" applyNumberFormat="1" applyFont="1" applyFill="1" applyBorder="1" applyAlignment="1" applyProtection="1">
      <alignment horizontal="center" vertical="center"/>
      <protection hidden="1"/>
    </xf>
    <xf numFmtId="1" fontId="40" fillId="3" borderId="21" xfId="0" applyNumberFormat="1" applyFont="1" applyFill="1" applyBorder="1" applyAlignment="1" applyProtection="1">
      <alignment horizontal="center" vertical="center"/>
      <protection hidden="1"/>
    </xf>
    <xf numFmtId="1" fontId="40" fillId="3" borderId="32" xfId="0" applyNumberFormat="1" applyFont="1" applyFill="1" applyBorder="1" applyAlignment="1" applyProtection="1">
      <alignment horizontal="center" vertical="center"/>
      <protection hidden="1"/>
    </xf>
    <xf numFmtId="1" fontId="45" fillId="3" borderId="46" xfId="0" applyNumberFormat="1" applyFont="1" applyFill="1" applyBorder="1" applyAlignment="1" applyProtection="1">
      <alignment horizontal="center" vertical="center"/>
      <protection hidden="1"/>
    </xf>
    <xf numFmtId="0" fontId="45" fillId="3" borderId="21" xfId="0" applyFont="1" applyFill="1" applyBorder="1" applyAlignment="1" applyProtection="1">
      <alignment horizontal="center"/>
      <protection hidden="1"/>
    </xf>
    <xf numFmtId="1" fontId="45" fillId="3" borderId="22" xfId="0" applyNumberFormat="1" applyFont="1" applyFill="1" applyBorder="1" applyAlignment="1" applyProtection="1">
      <alignment horizontal="center" vertical="center"/>
      <protection hidden="1"/>
    </xf>
    <xf numFmtId="1" fontId="45" fillId="3" borderId="52" xfId="0" applyNumberFormat="1" applyFont="1" applyFill="1" applyBorder="1" applyAlignment="1" applyProtection="1">
      <alignment horizontal="center" vertical="center"/>
      <protection hidden="1"/>
    </xf>
    <xf numFmtId="0" fontId="40" fillId="6" borderId="65" xfId="0" applyFont="1" applyFill="1" applyBorder="1" applyAlignment="1" applyProtection="1">
      <alignment horizontal="left" vertical="center"/>
      <protection hidden="1"/>
    </xf>
    <xf numFmtId="0" fontId="45" fillId="0" borderId="24" xfId="0" applyFont="1" applyFill="1" applyBorder="1" applyAlignment="1" applyProtection="1">
      <alignment horizontal="left" vertical="center"/>
      <protection hidden="1"/>
    </xf>
    <xf numFmtId="0" fontId="40" fillId="6" borderId="47" xfId="0" applyFont="1" applyFill="1" applyBorder="1" applyAlignment="1" applyProtection="1">
      <alignment horizontal="left" vertical="center"/>
      <protection hidden="1"/>
    </xf>
    <xf numFmtId="0" fontId="45" fillId="3" borderId="24" xfId="0" applyFont="1" applyFill="1" applyBorder="1" applyAlignment="1" applyProtection="1">
      <alignment horizontal="left" vertical="center"/>
      <protection hidden="1"/>
    </xf>
    <xf numFmtId="0" fontId="46" fillId="3" borderId="24" xfId="0" applyFont="1" applyFill="1" applyBorder="1" applyAlignment="1" applyProtection="1">
      <alignment horizontal="left" vertical="center"/>
      <protection hidden="1"/>
    </xf>
    <xf numFmtId="0" fontId="45" fillId="3" borderId="42" xfId="0" applyFont="1" applyFill="1" applyBorder="1" applyAlignment="1" applyProtection="1">
      <alignment horizontal="left" vertical="center"/>
      <protection hidden="1"/>
    </xf>
    <xf numFmtId="172" fontId="39" fillId="6" borderId="23" xfId="0" applyNumberFormat="1" applyFont="1" applyFill="1" applyBorder="1" applyAlignment="1" applyProtection="1">
      <alignment horizontal="left" vertical="center"/>
      <protection hidden="1"/>
    </xf>
    <xf numFmtId="0" fontId="40" fillId="6" borderId="57" xfId="0" applyFont="1" applyFill="1" applyBorder="1" applyAlignment="1" applyProtection="1">
      <alignment horizontal="left" vertical="center"/>
      <protection hidden="1"/>
    </xf>
    <xf numFmtId="0" fontId="45" fillId="3" borderId="45" xfId="0" applyFont="1" applyFill="1" applyBorder="1" applyAlignment="1" applyProtection="1">
      <alignment horizontal="left" vertical="center"/>
      <protection hidden="1"/>
    </xf>
    <xf numFmtId="0" fontId="45" fillId="6" borderId="55" xfId="0" applyFont="1" applyFill="1" applyBorder="1" applyAlignment="1" applyProtection="1">
      <alignment horizontal="left" vertical="center"/>
      <protection hidden="1"/>
    </xf>
    <xf numFmtId="0" fontId="52" fillId="0" borderId="24" xfId="0" applyFont="1" applyFill="1" applyBorder="1" applyAlignment="1" applyProtection="1">
      <alignment horizontal="left" vertical="center"/>
      <protection hidden="1"/>
    </xf>
    <xf numFmtId="172" fontId="45" fillId="3" borderId="45" xfId="0" applyNumberFormat="1" applyFont="1" applyFill="1" applyBorder="1" applyAlignment="1" applyProtection="1">
      <alignment horizontal="left" vertical="center"/>
      <protection hidden="1"/>
    </xf>
    <xf numFmtId="0" fontId="40" fillId="3" borderId="24" xfId="0" applyFont="1" applyFill="1" applyBorder="1" applyAlignment="1" applyProtection="1">
      <alignment horizontal="left" vertical="center"/>
      <protection hidden="1"/>
    </xf>
    <xf numFmtId="0" fontId="40" fillId="3" borderId="45" xfId="0" applyFont="1" applyFill="1" applyBorder="1" applyAlignment="1" applyProtection="1">
      <alignment horizontal="left" vertical="center"/>
      <protection hidden="1"/>
    </xf>
    <xf numFmtId="0" fontId="40" fillId="0" borderId="24" xfId="0" applyFont="1" applyFill="1" applyBorder="1" applyAlignment="1" applyProtection="1">
      <alignment horizontal="left" vertical="center"/>
      <protection hidden="1"/>
    </xf>
    <xf numFmtId="0" fontId="45" fillId="3" borderId="24" xfId="0" applyFont="1" applyFill="1" applyBorder="1" applyAlignment="1" applyProtection="1">
      <alignment vertical="center"/>
      <protection hidden="1"/>
    </xf>
    <xf numFmtId="172" fontId="40" fillId="6" borderId="23" xfId="0" applyNumberFormat="1" applyFont="1" applyFill="1" applyBorder="1" applyAlignment="1" applyProtection="1">
      <alignment horizontal="left" vertical="center"/>
      <protection hidden="1"/>
    </xf>
    <xf numFmtId="0" fontId="48" fillId="6" borderId="37" xfId="0" applyFont="1" applyFill="1" applyBorder="1" applyProtection="1">
      <protection hidden="1"/>
    </xf>
    <xf numFmtId="0" fontId="41" fillId="0" borderId="24" xfId="0" applyFont="1" applyBorder="1"/>
    <xf numFmtId="0" fontId="40" fillId="0" borderId="24" xfId="0" applyFont="1" applyFill="1" applyBorder="1" applyProtection="1">
      <protection hidden="1"/>
    </xf>
    <xf numFmtId="0" fontId="40" fillId="3" borderId="24" xfId="3" applyFont="1" applyFill="1" applyBorder="1" applyAlignment="1" applyProtection="1">
      <alignment horizontal="left" vertical="center"/>
      <protection hidden="1"/>
    </xf>
    <xf numFmtId="0" fontId="45" fillId="3" borderId="24" xfId="3" applyFont="1" applyFill="1" applyBorder="1" applyAlignment="1" applyProtection="1">
      <alignment horizontal="left" vertical="center"/>
      <protection hidden="1"/>
    </xf>
    <xf numFmtId="172" fontId="40" fillId="6" borderId="47" xfId="0" applyNumberFormat="1" applyFont="1" applyFill="1" applyBorder="1" applyAlignment="1" applyProtection="1">
      <alignment horizontal="left" vertical="center"/>
      <protection hidden="1"/>
    </xf>
    <xf numFmtId="172" fontId="40" fillId="3" borderId="24" xfId="0" applyNumberFormat="1" applyFont="1" applyFill="1" applyBorder="1" applyAlignment="1" applyProtection="1">
      <alignment horizontal="left" vertical="center"/>
      <protection hidden="1"/>
    </xf>
    <xf numFmtId="0" fontId="49" fillId="3" borderId="24" xfId="0" applyFont="1" applyFill="1" applyBorder="1" applyAlignment="1" applyProtection="1">
      <alignment horizontal="left" vertical="center"/>
      <protection hidden="1"/>
    </xf>
    <xf numFmtId="0" fontId="45" fillId="3" borderId="45" xfId="0" applyFont="1" applyFill="1" applyBorder="1" applyAlignment="1" applyProtection="1">
      <alignment vertical="center"/>
      <protection hidden="1"/>
    </xf>
    <xf numFmtId="0" fontId="45" fillId="0" borderId="24" xfId="0" applyFont="1" applyFill="1" applyBorder="1" applyAlignment="1" applyProtection="1">
      <alignment vertical="center"/>
      <protection hidden="1"/>
    </xf>
    <xf numFmtId="0" fontId="40" fillId="0" borderId="24" xfId="0" applyFont="1" applyFill="1" applyBorder="1" applyAlignment="1" applyProtection="1">
      <alignment vertical="center"/>
      <protection hidden="1"/>
    </xf>
    <xf numFmtId="0" fontId="40" fillId="3" borderId="42" xfId="0" applyFont="1" applyFill="1" applyBorder="1" applyAlignment="1" applyProtection="1">
      <alignment horizontal="left" vertical="center"/>
      <protection hidden="1"/>
    </xf>
    <xf numFmtId="0" fontId="40" fillId="3" borderId="24" xfId="0" applyFont="1" applyFill="1" applyBorder="1" applyAlignment="1" applyProtection="1">
      <alignment vertical="center"/>
      <protection hidden="1"/>
    </xf>
    <xf numFmtId="0" fontId="49" fillId="3" borderId="24" xfId="0" applyFont="1" applyFill="1" applyBorder="1" applyAlignment="1" applyProtection="1">
      <alignment vertical="center"/>
      <protection hidden="1"/>
    </xf>
    <xf numFmtId="0" fontId="40" fillId="6" borderId="37" xfId="0" applyFont="1" applyFill="1" applyBorder="1" applyProtection="1">
      <protection hidden="1"/>
    </xf>
    <xf numFmtId="0" fontId="45" fillId="3" borderId="24" xfId="0" applyFont="1" applyFill="1" applyBorder="1" applyProtection="1">
      <protection hidden="1"/>
    </xf>
    <xf numFmtId="0" fontId="45" fillId="6" borderId="37" xfId="0" applyFont="1" applyFill="1" applyBorder="1" applyAlignment="1" applyProtection="1">
      <alignment horizontal="left" vertical="center"/>
      <protection hidden="1"/>
    </xf>
    <xf numFmtId="0" fontId="45" fillId="2" borderId="24" xfId="0" applyFont="1" applyFill="1" applyBorder="1" applyAlignment="1" applyProtection="1">
      <alignment horizontal="left" vertical="center"/>
      <protection hidden="1"/>
    </xf>
    <xf numFmtId="0" fontId="45" fillId="2" borderId="51" xfId="0" applyFont="1" applyFill="1" applyBorder="1" applyAlignment="1" applyProtection="1">
      <alignment horizontal="left" vertical="center"/>
      <protection hidden="1"/>
    </xf>
    <xf numFmtId="0" fontId="19" fillId="0" borderId="21" xfId="0" applyFont="1" applyFill="1" applyBorder="1"/>
    <xf numFmtId="49" fontId="45" fillId="0" borderId="21" xfId="0" applyNumberFormat="1" applyFont="1" applyFill="1" applyBorder="1" applyAlignment="1" applyProtection="1">
      <alignment vertical="center"/>
      <protection hidden="1"/>
    </xf>
    <xf numFmtId="49" fontId="45" fillId="0" borderId="24" xfId="0" applyNumberFormat="1" applyFont="1" applyFill="1" applyBorder="1" applyAlignment="1" applyProtection="1">
      <alignment horizontal="right" vertical="center"/>
      <protection hidden="1"/>
    </xf>
    <xf numFmtId="0" fontId="45" fillId="3" borderId="39" xfId="0" applyNumberFormat="1" applyFont="1" applyFill="1" applyBorder="1" applyAlignment="1" applyProtection="1">
      <alignment horizontal="left" vertical="center"/>
      <protection hidden="1"/>
    </xf>
    <xf numFmtId="0" fontId="45" fillId="3" borderId="42" xfId="0" applyFont="1" applyFill="1" applyBorder="1" applyAlignment="1" applyProtection="1">
      <alignment vertical="center"/>
      <protection hidden="1"/>
    </xf>
    <xf numFmtId="1" fontId="45" fillId="3" borderId="43" xfId="0" applyNumberFormat="1" applyFont="1" applyFill="1" applyBorder="1" applyAlignment="1" applyProtection="1">
      <alignment horizontal="center" vertical="center"/>
      <protection hidden="1"/>
    </xf>
    <xf numFmtId="0" fontId="45" fillId="3" borderId="66" xfId="0" applyNumberFormat="1" applyFont="1" applyFill="1" applyBorder="1" applyAlignment="1" applyProtection="1">
      <alignment horizontal="left" vertical="center"/>
      <protection hidden="1"/>
    </xf>
    <xf numFmtId="0" fontId="45" fillId="3" borderId="69" xfId="0" applyFont="1" applyFill="1" applyBorder="1" applyAlignment="1" applyProtection="1">
      <alignment vertical="center"/>
      <protection hidden="1"/>
    </xf>
    <xf numFmtId="1" fontId="45" fillId="3" borderId="70" xfId="0" applyNumberFormat="1" applyFont="1" applyFill="1" applyBorder="1" applyAlignment="1" applyProtection="1">
      <alignment horizontal="center" vertical="center"/>
      <protection hidden="1"/>
    </xf>
    <xf numFmtId="4" fontId="45" fillId="3" borderId="66" xfId="3" applyNumberFormat="1" applyFont="1" applyFill="1" applyBorder="1" applyAlignment="1" applyProtection="1">
      <alignment horizontal="center" vertical="center"/>
      <protection hidden="1"/>
    </xf>
    <xf numFmtId="4" fontId="45" fillId="3" borderId="20" xfId="3" applyNumberFormat="1" applyFont="1" applyFill="1" applyBorder="1" applyAlignment="1" applyProtection="1">
      <alignment horizontal="center" vertical="center"/>
      <protection hidden="1"/>
    </xf>
    <xf numFmtId="2" fontId="45" fillId="3" borderId="70" xfId="0" applyNumberFormat="1" applyFont="1" applyFill="1" applyBorder="1" applyAlignment="1" applyProtection="1">
      <alignment vertical="center"/>
      <protection hidden="1"/>
    </xf>
    <xf numFmtId="4" fontId="38" fillId="3" borderId="4" xfId="0" applyNumberFormat="1" applyFont="1" applyFill="1" applyBorder="1" applyAlignment="1" applyProtection="1">
      <alignment horizontal="center" vertical="center" wrapText="1"/>
      <protection hidden="1"/>
    </xf>
    <xf numFmtId="4" fontId="38" fillId="3" borderId="15" xfId="0" applyNumberFormat="1" applyFont="1" applyFill="1" applyBorder="1" applyAlignment="1" applyProtection="1">
      <alignment horizontal="center" vertical="center" wrapText="1"/>
      <protection hidden="1"/>
    </xf>
    <xf numFmtId="4" fontId="45" fillId="8" borderId="3" xfId="2" applyNumberFormat="1" applyFont="1" applyFill="1" applyBorder="1" applyAlignment="1" applyProtection="1">
      <alignment horizontal="center" vertical="center" wrapText="1"/>
      <protection hidden="1"/>
    </xf>
    <xf numFmtId="4" fontId="45" fillId="8" borderId="4" xfId="2" applyNumberFormat="1" applyFont="1" applyFill="1" applyBorder="1" applyAlignment="1" applyProtection="1">
      <alignment horizontal="center" vertical="center" wrapText="1"/>
      <protection hidden="1"/>
    </xf>
    <xf numFmtId="4" fontId="45" fillId="8" borderId="15" xfId="2" applyNumberFormat="1" applyFont="1" applyFill="1" applyBorder="1" applyAlignment="1" applyProtection="1">
      <alignment horizontal="center" vertical="center" wrapText="1"/>
      <protection hidden="1"/>
    </xf>
    <xf numFmtId="4" fontId="45" fillId="8" borderId="5" xfId="2" applyNumberFormat="1" applyFont="1" applyFill="1" applyBorder="1" applyAlignment="1" applyProtection="1">
      <alignment horizontal="center" vertical="center" wrapText="1"/>
      <protection hidden="1"/>
    </xf>
    <xf numFmtId="4" fontId="45" fillId="8" borderId="0" xfId="2" applyNumberFormat="1" applyFont="1" applyFill="1" applyBorder="1" applyAlignment="1" applyProtection="1">
      <alignment horizontal="center" vertical="center" wrapText="1"/>
      <protection hidden="1"/>
    </xf>
    <xf numFmtId="4" fontId="45" fillId="8" borderId="14" xfId="2" applyNumberFormat="1" applyFont="1" applyFill="1" applyBorder="1" applyAlignment="1" applyProtection="1">
      <alignment horizontal="center" vertical="center" wrapText="1"/>
      <protection hidden="1"/>
    </xf>
    <xf numFmtId="4" fontId="45" fillId="8" borderId="6" xfId="2" applyNumberFormat="1" applyFont="1" applyFill="1" applyBorder="1" applyAlignment="1" applyProtection="1">
      <alignment horizontal="center" vertical="center" wrapText="1"/>
      <protection hidden="1"/>
    </xf>
    <xf numFmtId="4" fontId="45" fillId="8" borderId="1" xfId="2" applyNumberFormat="1" applyFont="1" applyFill="1" applyBorder="1" applyAlignment="1" applyProtection="1">
      <alignment horizontal="center" vertical="center" wrapText="1"/>
      <protection hidden="1"/>
    </xf>
    <xf numFmtId="4" fontId="45" fillId="8" borderId="8" xfId="2" applyNumberFormat="1" applyFont="1" applyFill="1" applyBorder="1" applyAlignment="1" applyProtection="1">
      <alignment horizontal="center" vertical="center" wrapText="1"/>
      <protection hidden="1"/>
    </xf>
    <xf numFmtId="0" fontId="44" fillId="9" borderId="66" xfId="0" applyFont="1" applyFill="1" applyBorder="1" applyAlignment="1">
      <alignment horizontal="center"/>
    </xf>
    <xf numFmtId="0" fontId="44" fillId="9" borderId="58" xfId="0" applyFont="1" applyFill="1" applyBorder="1" applyAlignment="1">
      <alignment horizontal="center"/>
    </xf>
    <xf numFmtId="0" fontId="44" fillId="9" borderId="67" xfId="0" applyFont="1" applyFill="1" applyBorder="1" applyAlignment="1">
      <alignment horizontal="center"/>
    </xf>
    <xf numFmtId="0" fontId="41" fillId="8" borderId="13" xfId="0" applyFont="1" applyFill="1" applyBorder="1" applyAlignment="1">
      <alignment horizontal="center"/>
    </xf>
    <xf numFmtId="0" fontId="41" fillId="8" borderId="21" xfId="0" applyFont="1" applyFill="1" applyBorder="1" applyAlignment="1">
      <alignment horizontal="center"/>
    </xf>
    <xf numFmtId="4" fontId="41" fillId="8" borderId="22" xfId="0" applyNumberFormat="1" applyFont="1" applyFill="1" applyBorder="1" applyAlignment="1" applyProtection="1">
      <alignment horizontal="center" vertical="center"/>
      <protection hidden="1"/>
    </xf>
    <xf numFmtId="4" fontId="41" fillId="8" borderId="23" xfId="0" applyNumberFormat="1" applyFont="1" applyFill="1" applyBorder="1" applyAlignment="1" applyProtection="1">
      <alignment horizontal="center" vertical="center"/>
      <protection hidden="1"/>
    </xf>
    <xf numFmtId="0" fontId="52" fillId="6" borderId="38" xfId="0" applyFont="1" applyFill="1" applyBorder="1" applyAlignment="1" applyProtection="1">
      <alignment horizontal="left" vertical="center"/>
      <protection hidden="1"/>
    </xf>
    <xf numFmtId="0" fontId="52" fillId="6" borderId="23" xfId="0" applyFont="1" applyFill="1" applyBorder="1" applyAlignment="1" applyProtection="1">
      <alignment horizontal="left" vertical="center"/>
      <protection hidden="1"/>
    </xf>
    <xf numFmtId="0" fontId="15" fillId="2" borderId="13" xfId="0" applyFont="1" applyFill="1" applyBorder="1" applyAlignment="1" applyProtection="1">
      <alignment horizontal="left"/>
      <protection hidden="1"/>
    </xf>
    <xf numFmtId="0" fontId="15" fillId="2" borderId="21" xfId="0" applyFont="1" applyFill="1" applyBorder="1" applyAlignment="1" applyProtection="1">
      <alignment horizontal="left"/>
      <protection hidden="1"/>
    </xf>
    <xf numFmtId="13" fontId="15" fillId="0" borderId="13" xfId="0" applyNumberFormat="1" applyFont="1" applyFill="1" applyBorder="1" applyAlignment="1" applyProtection="1">
      <alignment horizontal="left"/>
      <protection locked="0"/>
    </xf>
    <xf numFmtId="13" fontId="15" fillId="0" borderId="22" xfId="0" applyNumberFormat="1" applyFont="1" applyFill="1" applyBorder="1" applyAlignment="1" applyProtection="1">
      <alignment horizontal="left"/>
      <protection locked="0"/>
    </xf>
    <xf numFmtId="13" fontId="15" fillId="0" borderId="21" xfId="0" applyNumberFormat="1" applyFont="1" applyFill="1" applyBorder="1" applyAlignment="1" applyProtection="1">
      <alignment horizontal="left"/>
      <protection locked="0"/>
    </xf>
    <xf numFmtId="0" fontId="7" fillId="7" borderId="13" xfId="0" applyFont="1" applyFill="1" applyBorder="1" applyAlignment="1">
      <alignment horizontal="center"/>
    </xf>
    <xf numFmtId="0" fontId="7" fillId="7" borderId="22" xfId="0" applyFont="1" applyFill="1" applyBorder="1" applyAlignment="1">
      <alignment horizontal="center"/>
    </xf>
    <xf numFmtId="0" fontId="7" fillId="7" borderId="21" xfId="0" applyFont="1" applyFill="1" applyBorder="1" applyAlignment="1">
      <alignment horizontal="center"/>
    </xf>
    <xf numFmtId="0" fontId="7" fillId="7" borderId="13" xfId="0" applyFont="1" applyFill="1" applyBorder="1" applyAlignment="1">
      <alignment horizontal="right"/>
    </xf>
    <xf numFmtId="0" fontId="7" fillId="7" borderId="21" xfId="0" applyFont="1" applyFill="1" applyBorder="1" applyAlignment="1">
      <alignment horizontal="right"/>
    </xf>
    <xf numFmtId="0" fontId="7" fillId="7" borderId="36" xfId="0" applyFont="1" applyFill="1" applyBorder="1" applyAlignment="1">
      <alignment horizontal="right"/>
    </xf>
    <xf numFmtId="0" fontId="7" fillId="7" borderId="46" xfId="0" applyFont="1" applyFill="1" applyBorder="1" applyAlignment="1">
      <alignment horizontal="right"/>
    </xf>
    <xf numFmtId="0" fontId="9" fillId="7" borderId="13" xfId="0" applyFont="1" applyFill="1" applyBorder="1" applyAlignment="1" applyProtection="1">
      <alignment horizontal="left"/>
      <protection locked="0"/>
    </xf>
    <xf numFmtId="0" fontId="9" fillId="7" borderId="22" xfId="0" applyFont="1" applyFill="1" applyBorder="1" applyAlignment="1" applyProtection="1">
      <alignment horizontal="left"/>
      <protection locked="0"/>
    </xf>
    <xf numFmtId="0" fontId="9" fillId="7" borderId="21" xfId="0" applyFont="1" applyFill="1" applyBorder="1" applyAlignment="1" applyProtection="1">
      <alignment horizontal="left"/>
      <protection locked="0"/>
    </xf>
    <xf numFmtId="0" fontId="7" fillId="7" borderId="40" xfId="0" applyFont="1" applyFill="1" applyBorder="1" applyAlignment="1">
      <alignment horizontal="left"/>
    </xf>
    <xf numFmtId="0" fontId="7" fillId="7" borderId="43" xfId="0" applyFont="1" applyFill="1" applyBorder="1" applyAlignment="1">
      <alignment horizontal="left"/>
    </xf>
    <xf numFmtId="49" fontId="14" fillId="0" borderId="13" xfId="0" applyNumberFormat="1" applyFont="1" applyFill="1" applyBorder="1" applyAlignment="1" applyProtection="1">
      <alignment horizontal="left"/>
      <protection locked="0"/>
    </xf>
    <xf numFmtId="49" fontId="14" fillId="0" borderId="22" xfId="0" applyNumberFormat="1" applyFont="1" applyFill="1" applyBorder="1" applyAlignment="1" applyProtection="1">
      <alignment horizontal="left"/>
      <protection locked="0"/>
    </xf>
    <xf numFmtId="49" fontId="14" fillId="0" borderId="21" xfId="0" applyNumberFormat="1" applyFont="1" applyFill="1" applyBorder="1" applyAlignment="1" applyProtection="1">
      <alignment horizontal="left"/>
      <protection locked="0"/>
    </xf>
    <xf numFmtId="0" fontId="9" fillId="7" borderId="13"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7" borderId="36" xfId="0" applyFont="1" applyFill="1" applyBorder="1" applyAlignment="1">
      <alignment horizontal="center"/>
    </xf>
    <xf numFmtId="0" fontId="9" fillId="7" borderId="32" xfId="0" applyFont="1" applyFill="1" applyBorder="1" applyAlignment="1">
      <alignment horizontal="center"/>
    </xf>
    <xf numFmtId="0" fontId="9" fillId="7" borderId="22" xfId="0" applyFont="1" applyFill="1" applyBorder="1" applyAlignment="1">
      <alignment horizontal="center"/>
    </xf>
    <xf numFmtId="0" fontId="9" fillId="7" borderId="46" xfId="0" applyFont="1" applyFill="1" applyBorder="1" applyAlignment="1">
      <alignment horizontal="center"/>
    </xf>
    <xf numFmtId="0" fontId="7" fillId="7" borderId="10" xfId="0" applyFont="1" applyFill="1" applyBorder="1" applyAlignment="1">
      <alignment horizontal="right"/>
    </xf>
    <xf numFmtId="0" fontId="7" fillId="7" borderId="43" xfId="0" applyFont="1" applyFill="1" applyBorder="1" applyAlignment="1">
      <alignment horizontal="right"/>
    </xf>
    <xf numFmtId="0" fontId="7" fillId="7" borderId="13" xfId="0" applyFont="1" applyFill="1" applyBorder="1" applyAlignment="1">
      <alignment horizontal="center" vertical="center"/>
    </xf>
    <xf numFmtId="0" fontId="7" fillId="7" borderId="21" xfId="0" applyFont="1" applyFill="1" applyBorder="1" applyAlignment="1">
      <alignment horizontal="center" vertical="center"/>
    </xf>
    <xf numFmtId="43" fontId="14" fillId="0" borderId="36" xfId="1" applyFont="1" applyFill="1" applyBorder="1" applyAlignment="1" applyProtection="1">
      <alignment horizontal="center"/>
      <protection locked="0"/>
    </xf>
    <xf numFmtId="43" fontId="14" fillId="0" borderId="22" xfId="1" applyFont="1" applyFill="1" applyBorder="1" applyAlignment="1" applyProtection="1">
      <alignment horizontal="center"/>
      <protection locked="0"/>
    </xf>
    <xf numFmtId="43" fontId="14" fillId="0" borderId="21" xfId="1" applyFont="1" applyFill="1" applyBorder="1" applyAlignment="1" applyProtection="1">
      <alignment horizontal="center"/>
      <protection locked="0"/>
    </xf>
    <xf numFmtId="17" fontId="7" fillId="0" borderId="40" xfId="0" applyNumberFormat="1" applyFont="1" applyFill="1" applyBorder="1" applyAlignment="1" applyProtection="1">
      <alignment vertical="top" wrapText="1"/>
      <protection locked="0"/>
    </xf>
    <xf numFmtId="0" fontId="7" fillId="0" borderId="10" xfId="0" applyFont="1" applyFill="1" applyBorder="1" applyAlignment="1" applyProtection="1">
      <alignment vertical="top" wrapText="1"/>
      <protection locked="0"/>
    </xf>
    <xf numFmtId="0" fontId="7" fillId="0" borderId="43" xfId="0" applyFont="1" applyFill="1" applyBorder="1" applyAlignment="1" applyProtection="1">
      <alignment vertical="top" wrapText="1"/>
      <protection locked="0"/>
    </xf>
    <xf numFmtId="0" fontId="7" fillId="0" borderId="61" xfId="0" applyFont="1" applyFill="1" applyBorder="1" applyAlignment="1" applyProtection="1">
      <alignment vertical="top" wrapText="1"/>
      <protection locked="0"/>
    </xf>
    <xf numFmtId="0" fontId="7" fillId="0" borderId="0" xfId="0" applyFont="1" applyFill="1" applyBorder="1" applyAlignment="1" applyProtection="1">
      <alignment vertical="top" wrapText="1"/>
      <protection locked="0"/>
    </xf>
    <xf numFmtId="0" fontId="7" fillId="0" borderId="11" xfId="0" applyFont="1" applyFill="1" applyBorder="1" applyAlignment="1" applyProtection="1">
      <alignment vertical="top" wrapText="1"/>
      <protection locked="0"/>
    </xf>
    <xf numFmtId="0" fontId="7" fillId="0" borderId="36" xfId="0" applyFont="1" applyFill="1" applyBorder="1" applyAlignment="1" applyProtection="1">
      <alignment vertical="top" wrapText="1"/>
      <protection locked="0"/>
    </xf>
    <xf numFmtId="0" fontId="7" fillId="0" borderId="32" xfId="0" applyFont="1" applyFill="1" applyBorder="1" applyAlignment="1" applyProtection="1">
      <alignment vertical="top" wrapText="1"/>
      <protection locked="0"/>
    </xf>
    <xf numFmtId="0" fontId="7" fillId="0" borderId="46" xfId="0" applyFont="1" applyFill="1" applyBorder="1" applyAlignment="1" applyProtection="1">
      <alignment vertical="top" wrapText="1"/>
      <protection locked="0"/>
    </xf>
    <xf numFmtId="0" fontId="20" fillId="7" borderId="40" xfId="0" applyFont="1" applyFill="1" applyBorder="1" applyAlignment="1">
      <alignment horizontal="left" vertical="top" wrapText="1"/>
    </xf>
    <xf numFmtId="0" fontId="20" fillId="7" borderId="43" xfId="0" applyFont="1" applyFill="1" applyBorder="1" applyAlignment="1">
      <alignment horizontal="left" vertical="top" wrapText="1"/>
    </xf>
    <xf numFmtId="0" fontId="20" fillId="7" borderId="61" xfId="0" applyFont="1" applyFill="1" applyBorder="1" applyAlignment="1">
      <alignment horizontal="left" vertical="top" wrapText="1"/>
    </xf>
    <xf numFmtId="0" fontId="20" fillId="7" borderId="11" xfId="0" applyFont="1" applyFill="1" applyBorder="1" applyAlignment="1">
      <alignment horizontal="left" vertical="top" wrapText="1"/>
    </xf>
    <xf numFmtId="0" fontId="20" fillId="7" borderId="36" xfId="0" applyFont="1" applyFill="1" applyBorder="1" applyAlignment="1">
      <alignment horizontal="left" vertical="top" wrapText="1"/>
    </xf>
    <xf numFmtId="0" fontId="20" fillId="7" borderId="46" xfId="0" applyFont="1" applyFill="1" applyBorder="1" applyAlignment="1">
      <alignment horizontal="left" vertical="top" wrapText="1"/>
    </xf>
    <xf numFmtId="0" fontId="15" fillId="0" borderId="13" xfId="0" applyFont="1" applyFill="1" applyBorder="1" applyAlignment="1" applyProtection="1">
      <alignment horizontal="left"/>
      <protection locked="0"/>
    </xf>
    <xf numFmtId="0" fontId="15" fillId="0" borderId="22" xfId="0" applyFont="1" applyFill="1" applyBorder="1" applyAlignment="1" applyProtection="1">
      <alignment horizontal="left"/>
      <protection locked="0"/>
    </xf>
    <xf numFmtId="0" fontId="15" fillId="0" borderId="21" xfId="0" applyFont="1" applyFill="1" applyBorder="1" applyAlignment="1" applyProtection="1">
      <alignment horizontal="left"/>
      <protection locked="0"/>
    </xf>
    <xf numFmtId="0" fontId="7" fillId="0" borderId="0" xfId="0" applyFont="1" applyAlignment="1">
      <alignment horizontal="center" vertical="center"/>
    </xf>
    <xf numFmtId="0" fontId="7" fillId="7" borderId="40" xfId="0" applyFont="1" applyFill="1" applyBorder="1" applyAlignment="1">
      <alignment vertical="center"/>
    </xf>
    <xf numFmtId="0" fontId="7" fillId="7" borderId="43" xfId="0" applyFont="1" applyFill="1" applyBorder="1" applyAlignment="1">
      <alignment vertical="center"/>
    </xf>
    <xf numFmtId="0" fontId="7" fillId="7" borderId="61" xfId="0" applyFont="1" applyFill="1" applyBorder="1" applyAlignment="1">
      <alignment vertical="center"/>
    </xf>
    <xf numFmtId="0" fontId="7" fillId="7" borderId="11" xfId="0" applyFont="1" applyFill="1" applyBorder="1" applyAlignment="1">
      <alignment vertical="center"/>
    </xf>
    <xf numFmtId="0" fontId="7" fillId="7" borderId="0" xfId="0" applyFont="1" applyFill="1" applyBorder="1" applyAlignment="1">
      <alignment vertical="center"/>
    </xf>
    <xf numFmtId="0" fontId="7" fillId="7" borderId="40"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43" xfId="0" applyFont="1" applyFill="1" applyBorder="1" applyAlignment="1">
      <alignment horizontal="center" vertical="center"/>
    </xf>
    <xf numFmtId="0" fontId="7" fillId="7" borderId="61" xfId="0" applyFont="1" applyFill="1" applyBorder="1" applyAlignment="1">
      <alignment horizontal="center" vertical="center"/>
    </xf>
    <xf numFmtId="0" fontId="7" fillId="7" borderId="0" xfId="0" applyFont="1" applyFill="1" applyBorder="1" applyAlignment="1">
      <alignment horizontal="center" vertical="center"/>
    </xf>
    <xf numFmtId="0" fontId="7" fillId="7" borderId="11" xfId="0" applyFont="1" applyFill="1" applyBorder="1" applyAlignment="1">
      <alignment horizontal="center" vertical="center"/>
    </xf>
    <xf numFmtId="0" fontId="8" fillId="0" borderId="0" xfId="0" applyFont="1" applyAlignment="1" applyProtection="1">
      <alignment horizontal="center"/>
      <protection locked="0"/>
    </xf>
    <xf numFmtId="0" fontId="11" fillId="0" borderId="0" xfId="0" applyFont="1" applyAlignment="1">
      <alignment horizontal="center"/>
    </xf>
    <xf numFmtId="0" fontId="7" fillId="7" borderId="13" xfId="0" applyFont="1" applyFill="1" applyBorder="1" applyAlignment="1" applyProtection="1">
      <alignment horizontal="center"/>
      <protection locked="0"/>
    </xf>
    <xf numFmtId="0" fontId="7" fillId="7" borderId="22" xfId="0" applyFont="1" applyFill="1" applyBorder="1" applyAlignment="1" applyProtection="1">
      <alignment horizontal="center"/>
      <protection locked="0"/>
    </xf>
    <xf numFmtId="0" fontId="7" fillId="7" borderId="21" xfId="0" applyFont="1" applyFill="1" applyBorder="1" applyAlignment="1" applyProtection="1">
      <alignment horizontal="center"/>
      <protection locked="0"/>
    </xf>
  </cellXfs>
  <cellStyles count="5">
    <cellStyle name="Comma" xfId="1" builtinId="3"/>
    <cellStyle name="Hyperlink" xfId="2" builtinId="8"/>
    <cellStyle name="Normal" xfId="0" builtinId="0"/>
    <cellStyle name="Normal_COSMETIC US Wholesale  Retail List1" xfId="3"/>
    <cellStyle name="Percent" xfId="4"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228600</xdr:colOff>
      <xdr:row>0</xdr:row>
      <xdr:rowOff>180975</xdr:rowOff>
    </xdr:from>
    <xdr:to>
      <xdr:col>1</xdr:col>
      <xdr:colOff>4352925</xdr:colOff>
      <xdr:row>4</xdr:row>
      <xdr:rowOff>123825</xdr:rowOff>
    </xdr:to>
    <xdr:pic>
      <xdr:nvPicPr>
        <xdr:cNvPr id="2187" name="Picture 4" descr="CrpLogo09Hz_R_368"/>
        <xdr:cNvPicPr>
          <a:picLocks noChangeAspect="1" noChangeArrowheads="1"/>
        </xdr:cNvPicPr>
      </xdr:nvPicPr>
      <xdr:blipFill>
        <a:blip xmlns:r="http://schemas.openxmlformats.org/officeDocument/2006/relationships" r:embed="rId1"/>
        <a:srcRect/>
        <a:stretch>
          <a:fillRect/>
        </a:stretch>
      </xdr:blipFill>
      <xdr:spPr bwMode="auto">
        <a:xfrm>
          <a:off x="228600" y="180975"/>
          <a:ext cx="4648200" cy="7810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kyafs01\data\DATA\ACCOUNTS\INDIA\FORMS\Delhi%20Manual%20Order%20with%20lookup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NUAL ORDER SCREEN"/>
      <sheetName val="Product Table"/>
      <sheetName val="PRODUCT - PRICE LIST"/>
      <sheetName val="LIT&amp;AOP - PRICE LIST"/>
      <sheetName val="Venezuela Price List"/>
      <sheetName val="Order Form"/>
    </sheetNames>
    <sheetDataSet>
      <sheetData sheetId="0" refreshError="1"/>
      <sheetData sheetId="1" refreshError="1">
        <row r="1">
          <cell r="A1" t="str">
            <v>Stock No.</v>
          </cell>
          <cell r="B1" t="str">
            <v>Product Name</v>
          </cell>
          <cell r="C1" t="str">
            <v>U/M</v>
          </cell>
          <cell r="D1" t="str">
            <v>Volume Points</v>
          </cell>
          <cell r="E1" t="str">
            <v>Earn  Base</v>
          </cell>
          <cell r="F1" t="str">
            <v>Retail Price</v>
          </cell>
          <cell r="G1" t="str">
            <v>Unreg.
sales tax</v>
          </cell>
          <cell r="H1" t="str">
            <v>Reg.sales tax</v>
          </cell>
          <cell r="I1" t="str">
            <v>Product
Type</v>
          </cell>
        </row>
        <row r="2">
          <cell r="A2">
            <v>909</v>
          </cell>
          <cell r="B2" t="str">
            <v>Processing Fee - Supervisor</v>
          </cell>
          <cell r="C2" t="str">
            <v>(1)</v>
          </cell>
          <cell r="D2">
            <v>0</v>
          </cell>
          <cell r="E2">
            <v>2700</v>
          </cell>
          <cell r="F2">
            <v>2700</v>
          </cell>
          <cell r="G2">
            <v>0</v>
          </cell>
          <cell r="H2">
            <v>0</v>
          </cell>
          <cell r="I2" t="str">
            <v>L</v>
          </cell>
        </row>
        <row r="3">
          <cell r="A3">
            <v>1270</v>
          </cell>
          <cell r="B3" t="str">
            <v>Formula 1 - Protein Drink Mix - Vanilla - 500g</v>
          </cell>
          <cell r="C3" t="str">
            <v>(1)</v>
          </cell>
          <cell r="D3">
            <v>21.75</v>
          </cell>
          <cell r="E3">
            <v>900</v>
          </cell>
          <cell r="F3">
            <v>900</v>
          </cell>
          <cell r="G3">
            <v>7</v>
          </cell>
          <cell r="H3">
            <v>0</v>
          </cell>
          <cell r="I3" t="str">
            <v>P</v>
          </cell>
        </row>
        <row r="4">
          <cell r="A4">
            <v>1271</v>
          </cell>
          <cell r="B4" t="str">
            <v>Formula 1 - Protein Drink Mix- Vanilla - 200g</v>
          </cell>
          <cell r="C4" t="str">
            <v>(1)</v>
          </cell>
          <cell r="D4">
            <v>8.6999999999999993</v>
          </cell>
          <cell r="E4">
            <v>425</v>
          </cell>
          <cell r="F4">
            <v>425</v>
          </cell>
          <cell r="G4">
            <v>7</v>
          </cell>
          <cell r="H4">
            <v>0</v>
          </cell>
          <cell r="I4" t="str">
            <v>P</v>
          </cell>
        </row>
        <row r="5">
          <cell r="A5">
            <v>1272</v>
          </cell>
          <cell r="B5" t="str">
            <v>Formula 1 - Protein Drink Mix - Chocolate - 500g</v>
          </cell>
          <cell r="C5" t="str">
            <v>(1)</v>
          </cell>
          <cell r="D5">
            <v>21.75</v>
          </cell>
          <cell r="E5">
            <v>900</v>
          </cell>
          <cell r="F5">
            <v>900</v>
          </cell>
          <cell r="G5">
            <v>7</v>
          </cell>
          <cell r="H5">
            <v>0</v>
          </cell>
          <cell r="I5" t="str">
            <v>P</v>
          </cell>
        </row>
        <row r="6">
          <cell r="A6">
            <v>1273</v>
          </cell>
          <cell r="B6" t="str">
            <v>Formula 1 - Protein Drink Mix - Chocolate - 200g</v>
          </cell>
          <cell r="C6" t="str">
            <v>(1)</v>
          </cell>
          <cell r="D6">
            <v>8.6999999999999993</v>
          </cell>
          <cell r="E6">
            <v>425</v>
          </cell>
          <cell r="F6">
            <v>425</v>
          </cell>
          <cell r="G6">
            <v>7</v>
          </cell>
          <cell r="H6">
            <v>0</v>
          </cell>
          <cell r="I6" t="str">
            <v>P</v>
          </cell>
        </row>
        <row r="7">
          <cell r="A7">
            <v>1274</v>
          </cell>
          <cell r="B7" t="str">
            <v>Formula 1 - Protein Drink Mix - Mango - 500g</v>
          </cell>
          <cell r="C7" t="str">
            <v>(1)</v>
          </cell>
          <cell r="D7">
            <v>21.75</v>
          </cell>
          <cell r="E7">
            <v>900</v>
          </cell>
          <cell r="F7">
            <v>900</v>
          </cell>
          <cell r="G7">
            <v>7</v>
          </cell>
          <cell r="H7">
            <v>0</v>
          </cell>
          <cell r="I7" t="str">
            <v>P</v>
          </cell>
        </row>
        <row r="8">
          <cell r="A8">
            <v>1275</v>
          </cell>
          <cell r="B8" t="str">
            <v>Formula 1 - Protein Drink Mix - Mango - 200g</v>
          </cell>
          <cell r="C8" t="str">
            <v>(1)</v>
          </cell>
          <cell r="D8">
            <v>8.6999999999999993</v>
          </cell>
          <cell r="E8">
            <v>425</v>
          </cell>
          <cell r="F8">
            <v>425</v>
          </cell>
          <cell r="G8">
            <v>7</v>
          </cell>
          <cell r="H8">
            <v>0</v>
          </cell>
          <cell r="I8" t="str">
            <v>P</v>
          </cell>
        </row>
        <row r="9">
          <cell r="A9">
            <v>1276</v>
          </cell>
          <cell r="B9" t="str">
            <v>Formula 2 - Multivitamin Mineral &amp; Herbal (90 Tablets)</v>
          </cell>
          <cell r="C9" t="str">
            <v>(1)</v>
          </cell>
          <cell r="D9">
            <v>19.95</v>
          </cell>
          <cell r="E9">
            <v>825</v>
          </cell>
          <cell r="F9">
            <v>825</v>
          </cell>
          <cell r="G9">
            <v>7</v>
          </cell>
          <cell r="H9">
            <v>0</v>
          </cell>
          <cell r="I9" t="str">
            <v>P</v>
          </cell>
        </row>
        <row r="10">
          <cell r="A10">
            <v>1277</v>
          </cell>
          <cell r="B10" t="str">
            <v>Formula 3 - Cell Activator (120 Tablets)</v>
          </cell>
          <cell r="C10" t="str">
            <v>(1)</v>
          </cell>
          <cell r="D10">
            <v>20.5</v>
          </cell>
          <cell r="E10">
            <v>850</v>
          </cell>
          <cell r="F10">
            <v>850</v>
          </cell>
          <cell r="G10">
            <v>7</v>
          </cell>
          <cell r="H10">
            <v>0</v>
          </cell>
          <cell r="I10" t="str">
            <v>P</v>
          </cell>
        </row>
        <row r="11">
          <cell r="A11">
            <v>1278</v>
          </cell>
          <cell r="B11" t="str">
            <v>Activated Fibre (90 Tablets)</v>
          </cell>
          <cell r="C11" t="str">
            <v>(1)</v>
          </cell>
          <cell r="D11">
            <v>15.75</v>
          </cell>
          <cell r="E11">
            <v>675</v>
          </cell>
          <cell r="F11">
            <v>675</v>
          </cell>
          <cell r="G11">
            <v>7</v>
          </cell>
          <cell r="H11">
            <v>0</v>
          </cell>
          <cell r="I11" t="str">
            <v>P</v>
          </cell>
        </row>
        <row r="12">
          <cell r="A12">
            <v>1279</v>
          </cell>
          <cell r="B12" t="str">
            <v>DinoKidsTM Shake - Chocolicious - 200g</v>
          </cell>
          <cell r="C12" t="str">
            <v>(1)</v>
          </cell>
          <cell r="D12">
            <v>9.6</v>
          </cell>
          <cell r="E12">
            <v>460</v>
          </cell>
          <cell r="F12">
            <v>460</v>
          </cell>
          <cell r="G12">
            <v>7</v>
          </cell>
          <cell r="H12">
            <v>0</v>
          </cell>
          <cell r="I12" t="str">
            <v>P</v>
          </cell>
        </row>
        <row r="13">
          <cell r="A13">
            <v>1286</v>
          </cell>
          <cell r="B13" t="str">
            <v>Formula 3 - Cell Activator (40 Tablets)</v>
          </cell>
          <cell r="C13" t="str">
            <v>(1)</v>
          </cell>
          <cell r="D13">
            <v>6.8</v>
          </cell>
          <cell r="E13">
            <v>320</v>
          </cell>
          <cell r="F13">
            <v>320</v>
          </cell>
          <cell r="G13">
            <v>7</v>
          </cell>
          <cell r="H13">
            <v>0</v>
          </cell>
          <cell r="I13" t="str">
            <v>P</v>
          </cell>
        </row>
        <row r="14">
          <cell r="A14">
            <v>1287</v>
          </cell>
          <cell r="B14" t="str">
            <v>Formula 2 - Multivitamin Mineral &amp; Herbal (15 Tablets)</v>
          </cell>
          <cell r="C14" t="str">
            <v>(1)</v>
          </cell>
          <cell r="D14">
            <v>3.3</v>
          </cell>
          <cell r="E14">
            <v>155</v>
          </cell>
          <cell r="F14">
            <v>155</v>
          </cell>
          <cell r="G14">
            <v>7</v>
          </cell>
          <cell r="H14">
            <v>0</v>
          </cell>
          <cell r="I14" t="str">
            <v>P</v>
          </cell>
        </row>
        <row r="15">
          <cell r="A15">
            <v>1288</v>
          </cell>
          <cell r="B15" t="str">
            <v>Activated Fibre (25 Tablets)</v>
          </cell>
          <cell r="C15" t="str">
            <v>(1)</v>
          </cell>
          <cell r="D15">
            <v>4.4000000000000004</v>
          </cell>
          <cell r="E15">
            <v>210</v>
          </cell>
          <cell r="F15">
            <v>210</v>
          </cell>
          <cell r="G15">
            <v>7</v>
          </cell>
          <cell r="H15">
            <v>0</v>
          </cell>
          <cell r="I15" t="str">
            <v>P</v>
          </cell>
        </row>
        <row r="16">
          <cell r="A16">
            <v>3544</v>
          </cell>
          <cell r="B16" t="str">
            <v>Quick Start - Convenience - Vanilla - 500g</v>
          </cell>
          <cell r="C16" t="str">
            <v>(1)</v>
          </cell>
          <cell r="D16">
            <v>21.75</v>
          </cell>
          <cell r="E16">
            <v>900</v>
          </cell>
          <cell r="F16">
            <v>900</v>
          </cell>
          <cell r="G16">
            <v>7</v>
          </cell>
          <cell r="H16">
            <v>0</v>
          </cell>
          <cell r="I16" t="str">
            <v>P</v>
          </cell>
        </row>
        <row r="17">
          <cell r="A17">
            <v>3545</v>
          </cell>
          <cell r="B17" t="str">
            <v>Quick Start - Convenience - Chocolate - 500g</v>
          </cell>
          <cell r="C17" t="str">
            <v>(1)</v>
          </cell>
          <cell r="D17">
            <v>21.75</v>
          </cell>
          <cell r="E17">
            <v>900</v>
          </cell>
          <cell r="F17">
            <v>900</v>
          </cell>
          <cell r="G17">
            <v>7</v>
          </cell>
          <cell r="H17">
            <v>0</v>
          </cell>
          <cell r="I17" t="str">
            <v>P</v>
          </cell>
        </row>
        <row r="18">
          <cell r="A18">
            <v>3546</v>
          </cell>
          <cell r="B18" t="str">
            <v>Quick Start - Convenience - Mango - 500g</v>
          </cell>
          <cell r="C18" t="str">
            <v>(1)</v>
          </cell>
          <cell r="D18">
            <v>21.75</v>
          </cell>
          <cell r="E18">
            <v>900</v>
          </cell>
          <cell r="F18">
            <v>900</v>
          </cell>
          <cell r="G18">
            <v>7</v>
          </cell>
          <cell r="H18">
            <v>0</v>
          </cell>
          <cell r="I18" t="str">
            <v>P</v>
          </cell>
        </row>
        <row r="19">
          <cell r="A19">
            <v>3547</v>
          </cell>
          <cell r="B19" t="str">
            <v>Quick Start - Convenience - Vanilla - 200g</v>
          </cell>
          <cell r="C19" t="str">
            <v>(1)</v>
          </cell>
          <cell r="D19">
            <v>8.6999999999999993</v>
          </cell>
          <cell r="E19">
            <v>425</v>
          </cell>
          <cell r="F19">
            <v>425</v>
          </cell>
          <cell r="G19">
            <v>7</v>
          </cell>
          <cell r="H19">
            <v>0</v>
          </cell>
          <cell r="I19" t="str">
            <v>P</v>
          </cell>
        </row>
        <row r="20">
          <cell r="A20">
            <v>3548</v>
          </cell>
          <cell r="B20" t="str">
            <v>Quick Start - Convenience - Chocolate - 200g</v>
          </cell>
          <cell r="C20" t="str">
            <v>(1)</v>
          </cell>
          <cell r="D20">
            <v>8.6999999999999993</v>
          </cell>
          <cell r="E20">
            <v>425</v>
          </cell>
          <cell r="F20">
            <v>425</v>
          </cell>
          <cell r="G20">
            <v>7</v>
          </cell>
          <cell r="H20">
            <v>0</v>
          </cell>
          <cell r="I20" t="str">
            <v>P</v>
          </cell>
        </row>
        <row r="21">
          <cell r="A21">
            <v>3549</v>
          </cell>
          <cell r="B21" t="str">
            <v>Quick Start - Convenience - Mango - 200g</v>
          </cell>
          <cell r="C21" t="str">
            <v>(1)</v>
          </cell>
          <cell r="D21">
            <v>8.6999999999999993</v>
          </cell>
          <cell r="E21">
            <v>425</v>
          </cell>
          <cell r="F21">
            <v>425</v>
          </cell>
          <cell r="G21">
            <v>7</v>
          </cell>
          <cell r="H21">
            <v>0</v>
          </cell>
          <cell r="I21" t="str">
            <v>P</v>
          </cell>
        </row>
        <row r="22">
          <cell r="A22">
            <v>3550</v>
          </cell>
          <cell r="B22" t="str">
            <v>Advanced - Convenience - Vanilla - 500g, &amp; Formula 2 - Multivitamin Mineral &amp; Herbal (90 Tablets)</v>
          </cell>
          <cell r="C22" t="str">
            <v>(1)</v>
          </cell>
          <cell r="D22">
            <v>41.7</v>
          </cell>
          <cell r="E22">
            <v>1725</v>
          </cell>
          <cell r="F22">
            <v>1725</v>
          </cell>
          <cell r="G22">
            <v>7</v>
          </cell>
          <cell r="H22">
            <v>0</v>
          </cell>
          <cell r="I22" t="str">
            <v>P</v>
          </cell>
        </row>
        <row r="23">
          <cell r="A23">
            <v>3551</v>
          </cell>
          <cell r="B23" t="str">
            <v>Advanced - Convenience - Chocolate - 500g, &amp; Formula 2 - Multivitamin Mineral &amp; Herbal (90 Tablets)</v>
          </cell>
          <cell r="C23" t="str">
            <v>(1)</v>
          </cell>
          <cell r="D23">
            <v>41.7</v>
          </cell>
          <cell r="E23">
            <v>1725</v>
          </cell>
          <cell r="F23">
            <v>1725</v>
          </cell>
          <cell r="G23">
            <v>7</v>
          </cell>
          <cell r="H23">
            <v>0</v>
          </cell>
          <cell r="I23" t="str">
            <v>P</v>
          </cell>
        </row>
        <row r="24">
          <cell r="A24">
            <v>3552</v>
          </cell>
          <cell r="B24" t="str">
            <v>Advanced - Convenience - Mango - 500g, &amp; Formula 2 - Multivitamin Mineral &amp; Herbal (90 Tablets)</v>
          </cell>
          <cell r="C24" t="str">
            <v>(1)</v>
          </cell>
          <cell r="D24">
            <v>41.7</v>
          </cell>
          <cell r="E24">
            <v>1725</v>
          </cell>
          <cell r="F24">
            <v>1725</v>
          </cell>
          <cell r="G24">
            <v>7</v>
          </cell>
          <cell r="H24">
            <v>0</v>
          </cell>
          <cell r="I24" t="str">
            <v>P</v>
          </cell>
        </row>
        <row r="25">
          <cell r="A25">
            <v>3553</v>
          </cell>
          <cell r="B25" t="str">
            <v>Advanced - Convenience - Vanilla - 200g, &amp; Formula 2 - Multivitamin Mineral &amp; Herbal (15 Tablets)</v>
          </cell>
          <cell r="C25" t="str">
            <v>(1)</v>
          </cell>
          <cell r="D25">
            <v>12</v>
          </cell>
          <cell r="E25">
            <v>580</v>
          </cell>
          <cell r="F25">
            <v>580</v>
          </cell>
          <cell r="G25">
            <v>7</v>
          </cell>
          <cell r="H25">
            <v>0</v>
          </cell>
          <cell r="I25" t="str">
            <v>P</v>
          </cell>
        </row>
        <row r="26">
          <cell r="A26">
            <v>3554</v>
          </cell>
          <cell r="B26" t="str">
            <v>Advanced - Convenience - Chocolate - 200g, &amp; Formula 2 - Multivitamin Mineral &amp; Herbal (15 Tablets)</v>
          </cell>
          <cell r="C26" t="str">
            <v>(1)</v>
          </cell>
          <cell r="D26">
            <v>12</v>
          </cell>
          <cell r="E26">
            <v>580</v>
          </cell>
          <cell r="F26">
            <v>580</v>
          </cell>
          <cell r="G26">
            <v>7</v>
          </cell>
          <cell r="H26">
            <v>0</v>
          </cell>
          <cell r="I26" t="str">
            <v>P</v>
          </cell>
        </row>
        <row r="27">
          <cell r="A27">
            <v>3555</v>
          </cell>
          <cell r="B27" t="str">
            <v>Advanced - Convenience - Mango - 200g, &amp; Formula 2 - Multivitamin Mineral &amp; Herbal (15 Tablets)</v>
          </cell>
          <cell r="C27" t="str">
            <v>(1)</v>
          </cell>
          <cell r="D27">
            <v>12</v>
          </cell>
          <cell r="E27">
            <v>580</v>
          </cell>
          <cell r="F27">
            <v>580</v>
          </cell>
          <cell r="G27">
            <v>7</v>
          </cell>
          <cell r="H27">
            <v>0</v>
          </cell>
          <cell r="I27" t="str">
            <v>P</v>
          </cell>
        </row>
        <row r="28">
          <cell r="A28">
            <v>3556</v>
          </cell>
          <cell r="B28" t="str">
            <v>Ultimate - Convenience - Vanilla - 500g, Formula 2 - Multivitamin Mineral &amp; Herbal (90 Tablets), Formula 3 - Cell Activator (120 Tablets), &amp; Activated Fibre ( Tablets)</v>
          </cell>
          <cell r="C28" t="str">
            <v>(1)</v>
          </cell>
          <cell r="D28">
            <v>77.95</v>
          </cell>
          <cell r="E28">
            <v>3250</v>
          </cell>
          <cell r="F28">
            <v>3250</v>
          </cell>
          <cell r="G28">
            <v>7</v>
          </cell>
          <cell r="H28">
            <v>0</v>
          </cell>
          <cell r="I28" t="str">
            <v>P</v>
          </cell>
        </row>
        <row r="29">
          <cell r="A29">
            <v>3557</v>
          </cell>
          <cell r="B29" t="str">
            <v>Ultimate - Convenience - Chocolate - 500g, Formula 2 - Multivitamin Mineral &amp; Herbal (90 Tablets), Formula 3 - Cell Activator (120 Tablets), &amp; Activated Fibre (100 Tablets)</v>
          </cell>
          <cell r="C29" t="str">
            <v>(1)</v>
          </cell>
          <cell r="D29">
            <v>77.95</v>
          </cell>
          <cell r="E29">
            <v>3250</v>
          </cell>
          <cell r="F29">
            <v>3250</v>
          </cell>
          <cell r="G29">
            <v>7</v>
          </cell>
          <cell r="H29">
            <v>0</v>
          </cell>
          <cell r="I29" t="str">
            <v>P</v>
          </cell>
        </row>
        <row r="30">
          <cell r="A30">
            <v>3558</v>
          </cell>
          <cell r="B30" t="str">
            <v>Ultimate - Convenience - Mango - 500g, Formula 2 - Multivitamin Mineral &amp; Herbal (90 Tablets), Formula 3 - Cell Activator (120 Tablets), &amp; Activated Fibre (100 Tablets)</v>
          </cell>
          <cell r="C30" t="str">
            <v>(1)</v>
          </cell>
          <cell r="D30">
            <v>77.95</v>
          </cell>
          <cell r="E30">
            <v>3250</v>
          </cell>
          <cell r="F30">
            <v>3250</v>
          </cell>
          <cell r="G30">
            <v>7</v>
          </cell>
          <cell r="H30">
            <v>0</v>
          </cell>
          <cell r="I30" t="str">
            <v>P</v>
          </cell>
        </row>
        <row r="31">
          <cell r="A31">
            <v>3559</v>
          </cell>
          <cell r="B31" t="str">
            <v>Ultimate - Convenience - Vanilla - 200g, Formula 2 - Multivitamin Mineral &amp; Herbal (15 Tablets), Formula 3 - Cell Activator (40 Tablets), &amp; Activated Fibre (25 Tablets)</v>
          </cell>
          <cell r="C31" t="str">
            <v>(1)</v>
          </cell>
          <cell r="D31">
            <v>23.2</v>
          </cell>
          <cell r="E31">
            <v>1110</v>
          </cell>
          <cell r="F31">
            <v>1110</v>
          </cell>
          <cell r="G31">
            <v>7</v>
          </cell>
          <cell r="H31">
            <v>0</v>
          </cell>
          <cell r="I31" t="str">
            <v>P</v>
          </cell>
        </row>
        <row r="32">
          <cell r="A32">
            <v>3560</v>
          </cell>
          <cell r="B32" t="str">
            <v>Ultimate - Convenience - Chocolate - 200g, Formula 2 - Multivitamin Mineral &amp; Herbal (15 Tablets), Formula 3 - Cell Activator (40 Tablets), &amp; Activated Fibre (25 Tablets)</v>
          </cell>
          <cell r="C32" t="str">
            <v>(1)</v>
          </cell>
          <cell r="D32">
            <v>23.2</v>
          </cell>
          <cell r="E32">
            <v>1110</v>
          </cell>
          <cell r="F32">
            <v>1110</v>
          </cell>
          <cell r="G32">
            <v>7</v>
          </cell>
          <cell r="H32">
            <v>0</v>
          </cell>
          <cell r="I32" t="str">
            <v>P</v>
          </cell>
        </row>
        <row r="33">
          <cell r="A33">
            <v>3561</v>
          </cell>
          <cell r="B33" t="str">
            <v>Ultimate - Convenience - Mango - 200g, Formula 2 - Multivitamin Mineral &amp; Herbal (15 Tablets), Formula 3 - Cell Activator (40 Tablets), &amp; Activated Fibre (25 Tablets)</v>
          </cell>
          <cell r="C33" t="str">
            <v>(1)</v>
          </cell>
          <cell r="D33">
            <v>23.2</v>
          </cell>
          <cell r="E33">
            <v>1110</v>
          </cell>
          <cell r="F33">
            <v>1110</v>
          </cell>
          <cell r="G33">
            <v>7</v>
          </cell>
          <cell r="H33">
            <v>0</v>
          </cell>
          <cell r="I33" t="str">
            <v>P</v>
          </cell>
        </row>
        <row r="34">
          <cell r="A34">
            <v>5001</v>
          </cell>
          <cell r="B34" t="str">
            <v>Form - Retail Order</v>
          </cell>
          <cell r="C34" t="str">
            <v>(20)</v>
          </cell>
          <cell r="D34">
            <v>0</v>
          </cell>
          <cell r="E34">
            <v>88</v>
          </cell>
          <cell r="F34">
            <v>88</v>
          </cell>
          <cell r="G34">
            <v>0</v>
          </cell>
          <cell r="H34">
            <v>0</v>
          </cell>
          <cell r="I34" t="str">
            <v>L</v>
          </cell>
        </row>
        <row r="35">
          <cell r="A35">
            <v>5002</v>
          </cell>
          <cell r="B35" t="str">
            <v>Form - Product Order</v>
          </cell>
          <cell r="C35" t="str">
            <v>(20)</v>
          </cell>
          <cell r="D35">
            <v>0</v>
          </cell>
          <cell r="E35">
            <v>22</v>
          </cell>
          <cell r="F35">
            <v>22</v>
          </cell>
          <cell r="G35">
            <v>0</v>
          </cell>
          <cell r="H35">
            <v>0</v>
          </cell>
          <cell r="I35" t="str">
            <v>L</v>
          </cell>
        </row>
        <row r="36">
          <cell r="A36">
            <v>5003</v>
          </cell>
          <cell r="B36" t="str">
            <v>Career Book - International Business Opportunity</v>
          </cell>
          <cell r="C36" t="str">
            <v>(1)</v>
          </cell>
          <cell r="D36">
            <v>0</v>
          </cell>
          <cell r="E36">
            <v>492</v>
          </cell>
          <cell r="F36">
            <v>492</v>
          </cell>
          <cell r="G36">
            <v>0</v>
          </cell>
          <cell r="H36">
            <v>0</v>
          </cell>
          <cell r="I36" t="str">
            <v>L</v>
          </cell>
        </row>
        <row r="37">
          <cell r="A37">
            <v>5013</v>
          </cell>
          <cell r="B37" t="str">
            <v>Form - Supervisor Application</v>
          </cell>
          <cell r="C37" t="str">
            <v>(20)</v>
          </cell>
          <cell r="D37">
            <v>0</v>
          </cell>
          <cell r="E37">
            <v>20</v>
          </cell>
          <cell r="F37">
            <v>20</v>
          </cell>
          <cell r="G37">
            <v>0</v>
          </cell>
          <cell r="H37">
            <v>0</v>
          </cell>
          <cell r="I37" t="str">
            <v>L</v>
          </cell>
        </row>
        <row r="38">
          <cell r="A38">
            <v>5074</v>
          </cell>
          <cell r="B38" t="str">
            <v>Form - Ten Customer / 70%</v>
          </cell>
          <cell r="C38" t="str">
            <v>(20)</v>
          </cell>
          <cell r="D38">
            <v>0</v>
          </cell>
          <cell r="E38">
            <v>22</v>
          </cell>
          <cell r="F38">
            <v>22</v>
          </cell>
          <cell r="G38">
            <v>0</v>
          </cell>
          <cell r="H38">
            <v>0</v>
          </cell>
          <cell r="I38" t="str">
            <v>L</v>
          </cell>
        </row>
        <row r="39">
          <cell r="A39">
            <v>5087</v>
          </cell>
          <cell r="B39" t="str">
            <v>Form - Art of Promotion &amp; Literature</v>
          </cell>
          <cell r="C39" t="str">
            <v>(20)</v>
          </cell>
          <cell r="D39">
            <v>0</v>
          </cell>
          <cell r="E39">
            <v>22</v>
          </cell>
          <cell r="F39">
            <v>22</v>
          </cell>
          <cell r="G39">
            <v>0</v>
          </cell>
          <cell r="H39">
            <v>0</v>
          </cell>
          <cell r="I39" t="str">
            <v>L</v>
          </cell>
        </row>
        <row r="40">
          <cell r="A40">
            <v>5192</v>
          </cell>
          <cell r="B40" t="str">
            <v>Flyer - Results</v>
          </cell>
          <cell r="C40" t="str">
            <v>(100)</v>
          </cell>
          <cell r="D40">
            <v>0</v>
          </cell>
          <cell r="E40">
            <v>90</v>
          </cell>
          <cell r="F40">
            <v>90</v>
          </cell>
          <cell r="G40">
            <v>0</v>
          </cell>
          <cell r="H40">
            <v>0</v>
          </cell>
          <cell r="I40" t="str">
            <v>L</v>
          </cell>
        </row>
        <row r="41">
          <cell r="A41">
            <v>5210</v>
          </cell>
          <cell r="B41" t="str">
            <v>Brochure - International Success Training System</v>
          </cell>
          <cell r="C41" t="str">
            <v>(10)</v>
          </cell>
          <cell r="D41">
            <v>0</v>
          </cell>
          <cell r="E41">
            <v>93</v>
          </cell>
          <cell r="F41">
            <v>93</v>
          </cell>
          <cell r="G41">
            <v>0</v>
          </cell>
          <cell r="H41">
            <v>0</v>
          </cell>
          <cell r="I41" t="str">
            <v>L</v>
          </cell>
        </row>
        <row r="42">
          <cell r="A42">
            <v>5352</v>
          </cell>
          <cell r="B42" t="str">
            <v>International Business Pack</v>
          </cell>
          <cell r="C42" t="str">
            <v>(1)</v>
          </cell>
          <cell r="D42">
            <v>0</v>
          </cell>
          <cell r="E42">
            <v>999</v>
          </cell>
          <cell r="F42">
            <v>999</v>
          </cell>
          <cell r="G42">
            <v>7</v>
          </cell>
          <cell r="H42">
            <v>0</v>
          </cell>
          <cell r="I42" t="str">
            <v>L</v>
          </cell>
        </row>
        <row r="43">
          <cell r="A43">
            <v>5702</v>
          </cell>
          <cell r="B43" t="str">
            <v>Brochure - Mini - Product</v>
          </cell>
          <cell r="C43" t="str">
            <v>(10)</v>
          </cell>
          <cell r="D43">
            <v>0</v>
          </cell>
          <cell r="E43">
            <v>53</v>
          </cell>
          <cell r="F43">
            <v>53</v>
          </cell>
          <cell r="G43">
            <v>0</v>
          </cell>
          <cell r="H43">
            <v>0</v>
          </cell>
          <cell r="I43" t="str">
            <v>L</v>
          </cell>
        </row>
        <row r="44">
          <cell r="A44">
            <v>7991</v>
          </cell>
          <cell r="B44" t="str">
            <v xml:space="preserve">Shaker Cup - Clear </v>
          </cell>
          <cell r="C44" t="str">
            <v>(1)</v>
          </cell>
          <cell r="D44">
            <v>0.35</v>
          </cell>
          <cell r="E44">
            <v>168</v>
          </cell>
          <cell r="F44">
            <v>168</v>
          </cell>
          <cell r="G44">
            <v>6</v>
          </cell>
          <cell r="H44">
            <v>0</v>
          </cell>
          <cell r="I44" t="str">
            <v>A</v>
          </cell>
        </row>
        <row r="45">
          <cell r="A45">
            <v>7992</v>
          </cell>
          <cell r="B45" t="str">
            <v>Tablet Box - Green - Small</v>
          </cell>
          <cell r="C45" t="str">
            <v>(1)</v>
          </cell>
          <cell r="D45">
            <v>0.1</v>
          </cell>
          <cell r="E45">
            <v>33</v>
          </cell>
          <cell r="F45">
            <v>33</v>
          </cell>
          <cell r="G45">
            <v>6</v>
          </cell>
          <cell r="H45">
            <v>0</v>
          </cell>
          <cell r="I45" t="str">
            <v>A</v>
          </cell>
        </row>
        <row r="46">
          <cell r="A46">
            <v>7993</v>
          </cell>
          <cell r="B46" t="str">
            <v>Decal - HerbalifeTM A Way of Life - 4½ Round</v>
          </cell>
          <cell r="C46" t="str">
            <v>(1)</v>
          </cell>
          <cell r="D46">
            <v>0.05</v>
          </cell>
          <cell r="E46">
            <v>24</v>
          </cell>
          <cell r="F46">
            <v>24</v>
          </cell>
          <cell r="G46">
            <v>6</v>
          </cell>
          <cell r="H46">
            <v>0</v>
          </cell>
          <cell r="I46" t="str">
            <v>A</v>
          </cell>
        </row>
        <row r="47">
          <cell r="A47">
            <v>7994</v>
          </cell>
          <cell r="B47" t="str">
            <v>Button - Lose Weight Now</v>
          </cell>
          <cell r="C47" t="str">
            <v>(1)</v>
          </cell>
          <cell r="D47">
            <v>0.05</v>
          </cell>
          <cell r="E47">
            <v>20</v>
          </cell>
          <cell r="F47">
            <v>20</v>
          </cell>
          <cell r="G47">
            <v>6</v>
          </cell>
          <cell r="H47">
            <v>0</v>
          </cell>
          <cell r="I47" t="str">
            <v>A</v>
          </cell>
        </row>
        <row r="48">
          <cell r="A48">
            <v>7995</v>
          </cell>
          <cell r="B48" t="str">
            <v>Button - I © HerbalifeTM</v>
          </cell>
          <cell r="C48" t="str">
            <v>(1)</v>
          </cell>
          <cell r="D48">
            <v>0.05</v>
          </cell>
          <cell r="E48">
            <v>20</v>
          </cell>
          <cell r="F48">
            <v>20</v>
          </cell>
          <cell r="G48">
            <v>6</v>
          </cell>
          <cell r="H48">
            <v>0</v>
          </cell>
          <cell r="I48" t="str">
            <v>A</v>
          </cell>
        </row>
        <row r="49">
          <cell r="A49">
            <v>7996</v>
          </cell>
          <cell r="B49" t="str">
            <v>Button - I've Lost…</v>
          </cell>
          <cell r="C49" t="str">
            <v>(1)</v>
          </cell>
          <cell r="D49">
            <v>0.05</v>
          </cell>
          <cell r="E49">
            <v>20</v>
          </cell>
          <cell r="F49">
            <v>20</v>
          </cell>
          <cell r="G49">
            <v>6</v>
          </cell>
          <cell r="H49">
            <v>0</v>
          </cell>
          <cell r="I49" t="str">
            <v>A</v>
          </cell>
        </row>
        <row r="50">
          <cell r="A50">
            <v>7997</v>
          </cell>
          <cell r="B50" t="str">
            <v>Tape Measure - Tyvek</v>
          </cell>
          <cell r="C50" t="str">
            <v>(1)</v>
          </cell>
          <cell r="D50">
            <v>0.05</v>
          </cell>
          <cell r="E50">
            <v>33</v>
          </cell>
          <cell r="F50">
            <v>33</v>
          </cell>
          <cell r="G50">
            <v>6</v>
          </cell>
          <cell r="H50">
            <v>0</v>
          </cell>
          <cell r="I50" t="str">
            <v>A</v>
          </cell>
        </row>
        <row r="51">
          <cell r="A51">
            <v>7998</v>
          </cell>
          <cell r="B51" t="str">
            <v>Container - Formula 1 - 2 oz</v>
          </cell>
          <cell r="C51" t="str">
            <v>(1)</v>
          </cell>
          <cell r="D51">
            <v>0.1</v>
          </cell>
          <cell r="E51">
            <v>40</v>
          </cell>
          <cell r="F51">
            <v>40</v>
          </cell>
          <cell r="G51">
            <v>6</v>
          </cell>
          <cell r="H51">
            <v>0</v>
          </cell>
          <cell r="I51" t="str">
            <v>A</v>
          </cell>
        </row>
        <row r="52">
          <cell r="A52">
            <v>8611</v>
          </cell>
          <cell r="B52" t="str">
            <v>Plastic Bags - Medium</v>
          </cell>
          <cell r="C52" t="str">
            <v>(1)</v>
          </cell>
          <cell r="D52">
            <v>0</v>
          </cell>
          <cell r="E52">
            <v>214</v>
          </cell>
          <cell r="F52">
            <v>214</v>
          </cell>
          <cell r="G52">
            <v>7</v>
          </cell>
          <cell r="H52">
            <v>0</v>
          </cell>
          <cell r="I52" t="str">
            <v>A</v>
          </cell>
        </row>
        <row r="53">
          <cell r="A53">
            <v>8949</v>
          </cell>
          <cell r="B53" t="str">
            <v>Video - Welcome</v>
          </cell>
          <cell r="C53" t="str">
            <v>(1)</v>
          </cell>
          <cell r="D53">
            <v>0</v>
          </cell>
          <cell r="E53">
            <v>194</v>
          </cell>
          <cell r="F53">
            <v>194</v>
          </cell>
          <cell r="G53">
            <v>7</v>
          </cell>
          <cell r="H53">
            <v>0</v>
          </cell>
          <cell r="I53" t="str">
            <v>A</v>
          </cell>
        </row>
        <row r="54">
          <cell r="A54">
            <v>9269</v>
          </cell>
          <cell r="B54" t="str">
            <v>Journal - de Castro Family</v>
          </cell>
          <cell r="C54" t="str">
            <v>(1)</v>
          </cell>
          <cell r="D54">
            <v>0</v>
          </cell>
          <cell r="E54">
            <v>62</v>
          </cell>
          <cell r="F54">
            <v>62</v>
          </cell>
          <cell r="G54">
            <v>0</v>
          </cell>
          <cell r="H54">
            <v>0</v>
          </cell>
          <cell r="I54" t="str">
            <v>A</v>
          </cell>
        </row>
        <row r="55">
          <cell r="A55">
            <v>9270</v>
          </cell>
          <cell r="B55" t="str">
            <v>Journal - de Castro Family</v>
          </cell>
          <cell r="C55" t="str">
            <v>(1)</v>
          </cell>
          <cell r="D55">
            <v>0</v>
          </cell>
          <cell r="E55">
            <v>310</v>
          </cell>
          <cell r="F55">
            <v>310</v>
          </cell>
          <cell r="G55">
            <v>0</v>
          </cell>
          <cell r="H55">
            <v>0</v>
          </cell>
          <cell r="I55" t="str">
            <v>A</v>
          </cell>
        </row>
        <row r="56">
          <cell r="A56">
            <v>9909</v>
          </cell>
          <cell r="B56" t="str">
            <v>Processing Fee - Distributor</v>
          </cell>
          <cell r="C56" t="str">
            <v>(1)</v>
          </cell>
          <cell r="D56">
            <v>0</v>
          </cell>
          <cell r="E56">
            <v>450</v>
          </cell>
          <cell r="F56">
            <v>450</v>
          </cell>
          <cell r="G56">
            <v>0</v>
          </cell>
          <cell r="H56">
            <v>0</v>
          </cell>
          <cell r="I56" t="str">
            <v>L</v>
          </cell>
        </row>
        <row r="57">
          <cell r="A57">
            <v>9910</v>
          </cell>
          <cell r="B57" t="str">
            <v>Invalid SKU Number</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orderline@herbalife.com"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4">
    <pageSetUpPr fitToPage="1"/>
  </sheetPr>
  <dimension ref="A1:CG220"/>
  <sheetViews>
    <sheetView tabSelected="1" view="pageBreakPreview" zoomScale="90" zoomScaleNormal="75" zoomScaleSheetLayoutView="90" workbookViewId="0">
      <selection activeCell="B144" sqref="B144"/>
    </sheetView>
  </sheetViews>
  <sheetFormatPr defaultRowHeight="15" customHeight="1"/>
  <cols>
    <col min="1" max="1" width="7.85546875" style="36" customWidth="1"/>
    <col min="2" max="2" width="85.42578125" style="36" customWidth="1"/>
    <col min="3" max="3" width="13.140625" style="37" customWidth="1"/>
    <col min="4" max="4" width="13.5703125" style="38" customWidth="1"/>
    <col min="5" max="5" width="13.42578125" style="39" customWidth="1"/>
    <col min="6" max="6" width="13.85546875" style="40" customWidth="1"/>
    <col min="7" max="7" width="3.7109375" style="38" hidden="1" customWidth="1"/>
    <col min="8" max="8" width="9.85546875" style="39" hidden="1" customWidth="1"/>
    <col min="9" max="10" width="8.140625" style="39" hidden="1" customWidth="1"/>
    <col min="11" max="11" width="9" style="39" hidden="1" customWidth="1"/>
    <col min="12" max="12" width="18.140625" style="39" customWidth="1"/>
    <col min="13" max="13" width="21.42578125" style="28" customWidth="1"/>
    <col min="14" max="14" width="19.28515625" style="28" customWidth="1"/>
    <col min="15" max="15" width="21.28515625" style="28" customWidth="1"/>
    <col min="16" max="16" width="26.42578125" style="28" customWidth="1"/>
    <col min="17" max="16384" width="9.140625" style="28"/>
  </cols>
  <sheetData>
    <row r="1" spans="1:16" ht="21" customHeight="1">
      <c r="A1" s="41" t="s">
        <v>78</v>
      </c>
      <c r="B1" s="42"/>
      <c r="C1" s="42"/>
      <c r="D1" s="42"/>
      <c r="E1" s="42"/>
      <c r="F1" s="42"/>
      <c r="G1" s="42"/>
      <c r="H1" s="42"/>
      <c r="I1" s="42"/>
      <c r="J1" s="42"/>
      <c r="K1" s="42"/>
      <c r="L1" s="335" t="s">
        <v>94</v>
      </c>
      <c r="M1" s="336"/>
      <c r="N1" s="337"/>
      <c r="O1" s="105"/>
      <c r="P1" s="106"/>
    </row>
    <row r="2" spans="1:16" ht="15" customHeight="1">
      <c r="A2" s="43"/>
      <c r="B2" s="123"/>
      <c r="C2" s="44"/>
      <c r="D2" s="45"/>
      <c r="E2" s="46"/>
      <c r="F2" s="47"/>
      <c r="G2" s="48"/>
      <c r="H2" s="46"/>
      <c r="I2" s="46"/>
      <c r="J2" s="46"/>
      <c r="K2" s="46"/>
      <c r="L2" s="72"/>
      <c r="M2" s="71"/>
      <c r="N2" s="73"/>
      <c r="O2" s="104"/>
      <c r="P2" s="107"/>
    </row>
    <row r="3" spans="1:16" ht="15" customHeight="1">
      <c r="A3" s="43"/>
      <c r="B3" s="123"/>
      <c r="C3" s="50"/>
      <c r="D3" s="51"/>
      <c r="E3" s="52"/>
      <c r="F3" s="53"/>
      <c r="G3" s="54"/>
      <c r="H3" s="52"/>
      <c r="I3" s="52"/>
      <c r="J3" s="52"/>
      <c r="K3" s="52"/>
      <c r="L3" s="126" t="s">
        <v>301</v>
      </c>
      <c r="M3" s="127"/>
      <c r="N3" s="126"/>
      <c r="O3" s="103"/>
      <c r="P3" s="107"/>
    </row>
    <row r="4" spans="1:16" ht="15" customHeight="1">
      <c r="A4" s="43"/>
      <c r="B4" s="123"/>
      <c r="C4" s="50"/>
      <c r="D4" s="55"/>
      <c r="E4" s="52"/>
      <c r="F4" s="53"/>
      <c r="G4" s="54"/>
      <c r="H4" s="52"/>
      <c r="I4" s="52"/>
      <c r="J4" s="52"/>
      <c r="K4" s="52"/>
      <c r="L4" s="126" t="s">
        <v>149</v>
      </c>
      <c r="M4" s="127"/>
      <c r="N4" s="126"/>
      <c r="O4" s="103"/>
      <c r="P4" s="107"/>
    </row>
    <row r="5" spans="1:16" ht="15" customHeight="1">
      <c r="A5" s="56"/>
      <c r="B5" s="124"/>
      <c r="C5" s="50"/>
      <c r="D5" s="55"/>
      <c r="E5" s="52"/>
      <c r="F5" s="53"/>
      <c r="G5" s="54"/>
      <c r="H5" s="52"/>
      <c r="I5" s="52"/>
      <c r="J5" s="52"/>
      <c r="K5" s="52"/>
      <c r="L5" s="126" t="s">
        <v>150</v>
      </c>
      <c r="M5" s="127"/>
      <c r="N5" s="126"/>
      <c r="O5" s="103"/>
      <c r="P5" s="107"/>
    </row>
    <row r="6" spans="1:16" ht="15" customHeight="1">
      <c r="A6" s="56"/>
      <c r="B6" s="123" t="s">
        <v>31</v>
      </c>
      <c r="C6" s="50"/>
      <c r="D6" s="51"/>
      <c r="E6" s="52"/>
      <c r="F6" s="53"/>
      <c r="G6" s="54"/>
      <c r="H6" s="52"/>
      <c r="I6" s="52"/>
      <c r="J6" s="52"/>
      <c r="K6" s="52"/>
      <c r="L6" s="128" t="s">
        <v>67</v>
      </c>
      <c r="M6" s="127"/>
      <c r="N6" s="129"/>
      <c r="O6" s="49"/>
      <c r="P6" s="107"/>
    </row>
    <row r="7" spans="1:16" ht="15" customHeight="1" thickBot="1">
      <c r="A7" s="56"/>
      <c r="B7" s="123" t="s">
        <v>128</v>
      </c>
      <c r="C7" s="122"/>
      <c r="D7" s="51"/>
      <c r="E7" s="52"/>
      <c r="F7" s="53"/>
      <c r="G7" s="54"/>
      <c r="H7" s="52"/>
      <c r="I7" s="52"/>
      <c r="J7" s="52"/>
      <c r="K7" s="52"/>
      <c r="L7" s="70"/>
      <c r="N7" s="49"/>
      <c r="O7" s="49"/>
      <c r="P7" s="107"/>
    </row>
    <row r="8" spans="1:16" ht="15" customHeight="1">
      <c r="A8" s="56"/>
      <c r="B8" s="123" t="s">
        <v>129</v>
      </c>
      <c r="C8" s="545" t="s">
        <v>259</v>
      </c>
      <c r="D8" s="546"/>
      <c r="E8" s="546"/>
      <c r="F8" s="546"/>
      <c r="G8" s="546"/>
      <c r="H8" s="546"/>
      <c r="I8" s="546"/>
      <c r="J8" s="546"/>
      <c r="K8" s="546"/>
      <c r="L8" s="547"/>
      <c r="M8" s="536" t="s">
        <v>268</v>
      </c>
      <c r="N8" s="537"/>
      <c r="O8" s="537"/>
      <c r="P8" s="538"/>
    </row>
    <row r="9" spans="1:16" ht="15" customHeight="1">
      <c r="A9" s="56"/>
      <c r="B9" s="124" t="s">
        <v>32</v>
      </c>
      <c r="C9" s="130"/>
      <c r="D9" s="548" t="s">
        <v>266</v>
      </c>
      <c r="E9" s="549"/>
      <c r="F9" s="550" t="s">
        <v>261</v>
      </c>
      <c r="G9" s="550"/>
      <c r="H9" s="550"/>
      <c r="I9" s="550"/>
      <c r="J9" s="550"/>
      <c r="K9" s="550"/>
      <c r="L9" s="551"/>
      <c r="M9" s="539"/>
      <c r="N9" s="540"/>
      <c r="O9" s="540"/>
      <c r="P9" s="541"/>
    </row>
    <row r="10" spans="1:16" ht="15" customHeight="1">
      <c r="A10" s="56"/>
      <c r="B10" s="125" t="s">
        <v>244</v>
      </c>
      <c r="C10" s="131" t="s">
        <v>254</v>
      </c>
      <c r="D10" s="132" t="s">
        <v>262</v>
      </c>
      <c r="E10" s="133" t="s">
        <v>263</v>
      </c>
      <c r="F10" s="134" t="s">
        <v>262</v>
      </c>
      <c r="G10" s="135"/>
      <c r="H10" s="136"/>
      <c r="I10" s="136"/>
      <c r="J10" s="136"/>
      <c r="K10" s="136"/>
      <c r="L10" s="137" t="s">
        <v>263</v>
      </c>
      <c r="M10" s="539"/>
      <c r="N10" s="540"/>
      <c r="O10" s="540"/>
      <c r="P10" s="541"/>
    </row>
    <row r="11" spans="1:16" ht="15" customHeight="1">
      <c r="A11" s="56"/>
      <c r="B11" s="125" t="s">
        <v>265</v>
      </c>
      <c r="C11" s="131" t="s">
        <v>255</v>
      </c>
      <c r="D11" s="138">
        <v>0.01</v>
      </c>
      <c r="E11" s="139">
        <v>5.0000000000000001E-3</v>
      </c>
      <c r="F11" s="139">
        <v>3.5000000000000003E-2</v>
      </c>
      <c r="G11" s="135"/>
      <c r="H11" s="136"/>
      <c r="I11" s="136"/>
      <c r="J11" s="136"/>
      <c r="K11" s="136"/>
      <c r="L11" s="140">
        <v>2.2499999999999999E-2</v>
      </c>
      <c r="M11" s="539"/>
      <c r="N11" s="540"/>
      <c r="O11" s="540"/>
      <c r="P11" s="541"/>
    </row>
    <row r="12" spans="1:16" ht="15" customHeight="1">
      <c r="A12" s="56"/>
      <c r="B12" s="117"/>
      <c r="C12" s="141" t="s">
        <v>256</v>
      </c>
      <c r="D12" s="138">
        <v>0.01</v>
      </c>
      <c r="E12" s="139">
        <v>5.0000000000000001E-3</v>
      </c>
      <c r="F12" s="139">
        <v>0.03</v>
      </c>
      <c r="G12" s="135"/>
      <c r="H12" s="136"/>
      <c r="I12" s="136"/>
      <c r="J12" s="136"/>
      <c r="K12" s="136"/>
      <c r="L12" s="140">
        <v>1.7500000000000002E-2</v>
      </c>
      <c r="M12" s="539"/>
      <c r="N12" s="540"/>
      <c r="O12" s="540"/>
      <c r="P12" s="541"/>
    </row>
    <row r="13" spans="1:16" ht="15" customHeight="1">
      <c r="A13" s="56"/>
      <c r="B13" s="117"/>
      <c r="C13" s="141" t="s">
        <v>257</v>
      </c>
      <c r="D13" s="138">
        <v>0.01</v>
      </c>
      <c r="E13" s="139">
        <v>5.0000000000000001E-3</v>
      </c>
      <c r="F13" s="139">
        <v>2.5000000000000001E-2</v>
      </c>
      <c r="G13" s="135"/>
      <c r="H13" s="136"/>
      <c r="I13" s="136"/>
      <c r="J13" s="136"/>
      <c r="K13" s="136"/>
      <c r="L13" s="140">
        <v>1.2500000000000001E-2</v>
      </c>
      <c r="M13" s="539"/>
      <c r="N13" s="540"/>
      <c r="O13" s="540"/>
      <c r="P13" s="541"/>
    </row>
    <row r="14" spans="1:16" ht="15" customHeight="1">
      <c r="A14" s="56"/>
      <c r="B14" s="117"/>
      <c r="C14" s="141" t="s">
        <v>260</v>
      </c>
      <c r="D14" s="138">
        <v>0.01</v>
      </c>
      <c r="E14" s="139">
        <v>5.0000000000000001E-3</v>
      </c>
      <c r="F14" s="139">
        <v>2.2499999999999999E-2</v>
      </c>
      <c r="G14" s="135"/>
      <c r="H14" s="136"/>
      <c r="I14" s="136"/>
      <c r="J14" s="136"/>
      <c r="K14" s="136"/>
      <c r="L14" s="140">
        <v>0.01</v>
      </c>
      <c r="M14" s="539"/>
      <c r="N14" s="540"/>
      <c r="O14" s="540"/>
      <c r="P14" s="541"/>
    </row>
    <row r="15" spans="1:16" ht="15" customHeight="1">
      <c r="A15" s="56"/>
      <c r="B15" s="116"/>
      <c r="C15" s="131" t="s">
        <v>258</v>
      </c>
      <c r="D15" s="142">
        <v>0</v>
      </c>
      <c r="E15" s="143">
        <v>0</v>
      </c>
      <c r="F15" s="143">
        <v>60</v>
      </c>
      <c r="G15" s="135"/>
      <c r="H15" s="136"/>
      <c r="I15" s="136"/>
      <c r="J15" s="136"/>
      <c r="K15" s="136"/>
      <c r="L15" s="144">
        <v>45</v>
      </c>
      <c r="M15" s="539"/>
      <c r="N15" s="540"/>
      <c r="O15" s="540"/>
      <c r="P15" s="541"/>
    </row>
    <row r="16" spans="1:16" s="29" customFormat="1" ht="15" customHeight="1" thickBot="1">
      <c r="A16" s="56"/>
      <c r="B16" s="118"/>
      <c r="C16" s="119"/>
      <c r="D16" s="113" t="s">
        <v>264</v>
      </c>
      <c r="E16" s="114"/>
      <c r="F16" s="114"/>
      <c r="G16" s="114"/>
      <c r="H16" s="114"/>
      <c r="I16" s="114"/>
      <c r="J16" s="114"/>
      <c r="K16" s="114"/>
      <c r="L16" s="115"/>
      <c r="M16" s="542"/>
      <c r="N16" s="543"/>
      <c r="O16" s="543"/>
      <c r="P16" s="544"/>
    </row>
    <row r="17" spans="1:16" ht="15" customHeight="1">
      <c r="A17" s="120"/>
      <c r="B17" s="112" t="s">
        <v>65</v>
      </c>
      <c r="C17" s="111"/>
      <c r="D17" s="112"/>
      <c r="E17" s="112"/>
      <c r="F17" s="111"/>
      <c r="G17" s="111"/>
      <c r="H17" s="111"/>
      <c r="I17" s="111"/>
      <c r="J17" s="111"/>
      <c r="K17" s="111"/>
      <c r="L17" s="534"/>
      <c r="M17" s="534"/>
      <c r="N17" s="534"/>
      <c r="O17" s="534"/>
      <c r="P17" s="535"/>
    </row>
    <row r="18" spans="1:16" ht="0.75" customHeight="1" thickBot="1">
      <c r="A18" s="57"/>
      <c r="B18" s="58"/>
      <c r="C18" s="121"/>
      <c r="D18" s="59"/>
      <c r="E18" s="60"/>
      <c r="F18" s="61"/>
      <c r="G18" s="62"/>
      <c r="H18" s="63"/>
      <c r="I18" s="63"/>
      <c r="J18" s="64"/>
      <c r="K18" s="64"/>
      <c r="L18" s="67"/>
      <c r="M18" s="68"/>
      <c r="N18" s="65"/>
      <c r="O18" s="65"/>
      <c r="P18" s="66"/>
    </row>
    <row r="19" spans="1:16" s="27" customFormat="1" ht="69.75" customHeight="1" thickBot="1">
      <c r="A19" s="145" t="s">
        <v>267</v>
      </c>
      <c r="B19" s="146" t="s">
        <v>19</v>
      </c>
      <c r="C19" s="147" t="s">
        <v>30</v>
      </c>
      <c r="D19" s="148" t="s">
        <v>20</v>
      </c>
      <c r="E19" s="149" t="s">
        <v>54</v>
      </c>
      <c r="F19" s="149" t="s">
        <v>106</v>
      </c>
      <c r="G19" s="150"/>
      <c r="H19" s="151">
        <v>7.0000000000000007E-2</v>
      </c>
      <c r="I19" s="152">
        <v>0.02</v>
      </c>
      <c r="J19" s="153">
        <v>0.01</v>
      </c>
      <c r="K19" s="153">
        <v>0.14000000000000001</v>
      </c>
      <c r="L19" s="151" t="s">
        <v>107</v>
      </c>
      <c r="M19" s="154">
        <v>0.25</v>
      </c>
      <c r="N19" s="155">
        <v>0.35</v>
      </c>
      <c r="O19" s="156">
        <v>0.42</v>
      </c>
      <c r="P19" s="157">
        <v>0.5</v>
      </c>
    </row>
    <row r="20" spans="1:16" s="30" customFormat="1" ht="15" customHeight="1" thickBot="1">
      <c r="A20" s="346" t="s">
        <v>274</v>
      </c>
      <c r="B20" s="347"/>
      <c r="C20" s="158"/>
      <c r="D20" s="159"/>
      <c r="E20" s="160"/>
      <c r="F20" s="160"/>
      <c r="G20" s="160"/>
      <c r="H20" s="160"/>
      <c r="I20" s="160"/>
      <c r="J20" s="160"/>
      <c r="K20" s="160"/>
      <c r="L20" s="161"/>
      <c r="M20" s="162" t="s">
        <v>180</v>
      </c>
      <c r="N20" s="163" t="s">
        <v>181</v>
      </c>
      <c r="O20" s="164" t="s">
        <v>182</v>
      </c>
      <c r="P20" s="165" t="s">
        <v>183</v>
      </c>
    </row>
    <row r="21" spans="1:16" s="31" customFormat="1" ht="15" customHeight="1">
      <c r="A21" s="348" t="s">
        <v>153</v>
      </c>
      <c r="B21" s="349"/>
      <c r="C21" s="166"/>
      <c r="D21" s="167"/>
      <c r="E21" s="168"/>
      <c r="F21" s="168"/>
      <c r="G21" s="169"/>
      <c r="H21" s="168"/>
      <c r="I21" s="168"/>
      <c r="J21" s="168"/>
      <c r="K21" s="168"/>
      <c r="L21" s="168"/>
      <c r="M21" s="170"/>
      <c r="N21" s="171"/>
      <c r="O21" s="171"/>
      <c r="P21" s="172"/>
    </row>
    <row r="22" spans="1:16" s="26" customFormat="1" ht="15.75" customHeight="1">
      <c r="A22" s="173">
        <v>141</v>
      </c>
      <c r="B22" s="174" t="s">
        <v>154</v>
      </c>
      <c r="C22" s="175">
        <v>1</v>
      </c>
      <c r="D22" s="176">
        <v>23.95</v>
      </c>
      <c r="E22" s="177">
        <v>260.76</v>
      </c>
      <c r="F22" s="178">
        <v>260.76</v>
      </c>
      <c r="G22" s="179" t="s">
        <v>37</v>
      </c>
      <c r="H22" s="177">
        <f t="shared" ref="H22:H39" si="0">IF($G22="P",$F22*$H$19,IF($G22="A",$H$19*$F22,IF($G22="L",0%*$F22)))</f>
        <v>18.2532</v>
      </c>
      <c r="I22" s="177">
        <f>$F22*$I$19</f>
        <v>5.2152000000000003</v>
      </c>
      <c r="J22" s="177">
        <f t="shared" ref="J22:J39" si="1">F22*$J$19</f>
        <v>2.6076000000000001</v>
      </c>
      <c r="K22" s="178">
        <f t="shared" ref="K22:K39" si="2">(F22+H22+I22+J22)*$K$19</f>
        <v>40.157039999999995</v>
      </c>
      <c r="L22" s="180">
        <f>SUM(F22:K22)</f>
        <v>326.99303999999995</v>
      </c>
      <c r="M22" s="181">
        <f t="shared" ref="M22:P27" si="3">(($F22-($F22*M$19)+$H22+3.5%*$F22+$J22))*1.14</f>
        <v>257.13543599999997</v>
      </c>
      <c r="N22" s="181">
        <f t="shared" si="3"/>
        <v>227.40879599999997</v>
      </c>
      <c r="O22" s="181">
        <f t="shared" si="3"/>
        <v>206.60014799999993</v>
      </c>
      <c r="P22" s="182">
        <f t="shared" si="3"/>
        <v>182.81883599999995</v>
      </c>
    </row>
    <row r="23" spans="1:16" s="26" customFormat="1" ht="15" customHeight="1">
      <c r="A23" s="183">
        <v>142</v>
      </c>
      <c r="B23" s="184" t="s">
        <v>155</v>
      </c>
      <c r="C23" s="175">
        <v>1</v>
      </c>
      <c r="D23" s="176">
        <v>23.95</v>
      </c>
      <c r="E23" s="177">
        <v>260.76</v>
      </c>
      <c r="F23" s="178">
        <v>260.76</v>
      </c>
      <c r="G23" s="185" t="s">
        <v>37</v>
      </c>
      <c r="H23" s="177">
        <f t="shared" si="0"/>
        <v>18.2532</v>
      </c>
      <c r="I23" s="177">
        <f t="shared" ref="I23:I39" si="4">$F23*$I$19</f>
        <v>5.2152000000000003</v>
      </c>
      <c r="J23" s="177">
        <f t="shared" si="1"/>
        <v>2.6076000000000001</v>
      </c>
      <c r="K23" s="186">
        <f t="shared" si="2"/>
        <v>40.157039999999995</v>
      </c>
      <c r="L23" s="180">
        <f>SUM(F23:K23)</f>
        <v>326.99303999999995</v>
      </c>
      <c r="M23" s="181">
        <f t="shared" si="3"/>
        <v>257.13543599999997</v>
      </c>
      <c r="N23" s="181">
        <f t="shared" si="3"/>
        <v>227.40879599999997</v>
      </c>
      <c r="O23" s="181">
        <f t="shared" si="3"/>
        <v>206.60014799999993</v>
      </c>
      <c r="P23" s="182">
        <f t="shared" si="3"/>
        <v>182.81883599999995</v>
      </c>
    </row>
    <row r="24" spans="1:16" s="26" customFormat="1" ht="15" customHeight="1">
      <c r="A24" s="183">
        <v>143</v>
      </c>
      <c r="B24" s="184" t="s">
        <v>156</v>
      </c>
      <c r="C24" s="175">
        <v>1</v>
      </c>
      <c r="D24" s="176">
        <v>23.95</v>
      </c>
      <c r="E24" s="177">
        <v>260.76</v>
      </c>
      <c r="F24" s="178">
        <v>260.76</v>
      </c>
      <c r="G24" s="185" t="s">
        <v>37</v>
      </c>
      <c r="H24" s="177">
        <f t="shared" si="0"/>
        <v>18.2532</v>
      </c>
      <c r="I24" s="177">
        <f t="shared" si="4"/>
        <v>5.2152000000000003</v>
      </c>
      <c r="J24" s="177">
        <f t="shared" si="1"/>
        <v>2.6076000000000001</v>
      </c>
      <c r="K24" s="186">
        <f t="shared" si="2"/>
        <v>40.157039999999995</v>
      </c>
      <c r="L24" s="180">
        <f t="shared" ref="L24:L45" si="5">SUM(F24:K24)</f>
        <v>326.99303999999995</v>
      </c>
      <c r="M24" s="181">
        <f t="shared" si="3"/>
        <v>257.13543599999997</v>
      </c>
      <c r="N24" s="181">
        <f t="shared" si="3"/>
        <v>227.40879599999997</v>
      </c>
      <c r="O24" s="181">
        <f t="shared" si="3"/>
        <v>206.60014799999993</v>
      </c>
      <c r="P24" s="182">
        <f t="shared" si="3"/>
        <v>182.81883599999995</v>
      </c>
    </row>
    <row r="25" spans="1:16" s="26" customFormat="1" ht="15" customHeight="1">
      <c r="A25" s="183">
        <v>144</v>
      </c>
      <c r="B25" s="184" t="s">
        <v>157</v>
      </c>
      <c r="C25" s="187">
        <v>1</v>
      </c>
      <c r="D25" s="176">
        <v>23.95</v>
      </c>
      <c r="E25" s="177">
        <v>260.76</v>
      </c>
      <c r="F25" s="178">
        <v>260.76</v>
      </c>
      <c r="G25" s="185" t="s">
        <v>37</v>
      </c>
      <c r="H25" s="177">
        <f t="shared" si="0"/>
        <v>18.2532</v>
      </c>
      <c r="I25" s="177">
        <f t="shared" si="4"/>
        <v>5.2152000000000003</v>
      </c>
      <c r="J25" s="177">
        <f t="shared" si="1"/>
        <v>2.6076000000000001</v>
      </c>
      <c r="K25" s="186">
        <f t="shared" si="2"/>
        <v>40.157039999999995</v>
      </c>
      <c r="L25" s="180">
        <f t="shared" si="5"/>
        <v>326.99303999999995</v>
      </c>
      <c r="M25" s="181">
        <f t="shared" si="3"/>
        <v>257.13543599999997</v>
      </c>
      <c r="N25" s="181">
        <f t="shared" si="3"/>
        <v>227.40879599999997</v>
      </c>
      <c r="O25" s="181">
        <f t="shared" si="3"/>
        <v>206.60014799999993</v>
      </c>
      <c r="P25" s="182">
        <f t="shared" si="3"/>
        <v>182.81883599999995</v>
      </c>
    </row>
    <row r="26" spans="1:16" s="26" customFormat="1" ht="15" customHeight="1">
      <c r="A26" s="188">
        <v>146</v>
      </c>
      <c r="B26" s="189" t="s">
        <v>158</v>
      </c>
      <c r="C26" s="190">
        <v>1</v>
      </c>
      <c r="D26" s="191">
        <v>23.95</v>
      </c>
      <c r="E26" s="192">
        <v>260.76</v>
      </c>
      <c r="F26" s="193">
        <v>260.76</v>
      </c>
      <c r="G26" s="194" t="s">
        <v>37</v>
      </c>
      <c r="H26" s="192">
        <f t="shared" si="0"/>
        <v>18.2532</v>
      </c>
      <c r="I26" s="192">
        <f t="shared" si="4"/>
        <v>5.2152000000000003</v>
      </c>
      <c r="J26" s="192">
        <f t="shared" si="1"/>
        <v>2.6076000000000001</v>
      </c>
      <c r="K26" s="186">
        <f t="shared" si="2"/>
        <v>40.157039999999995</v>
      </c>
      <c r="L26" s="180">
        <f t="shared" si="5"/>
        <v>326.99303999999995</v>
      </c>
      <c r="M26" s="181">
        <f t="shared" si="3"/>
        <v>257.13543599999997</v>
      </c>
      <c r="N26" s="181">
        <f t="shared" si="3"/>
        <v>227.40879599999997</v>
      </c>
      <c r="O26" s="181">
        <f t="shared" si="3"/>
        <v>206.60014799999993</v>
      </c>
      <c r="P26" s="182">
        <f t="shared" si="3"/>
        <v>182.81883599999995</v>
      </c>
    </row>
    <row r="27" spans="1:16" s="26" customFormat="1" ht="15" customHeight="1">
      <c r="A27" s="195">
        <v>3118</v>
      </c>
      <c r="B27" s="196" t="s">
        <v>253</v>
      </c>
      <c r="C27" s="190">
        <v>1</v>
      </c>
      <c r="D27" s="191">
        <v>26.35</v>
      </c>
      <c r="E27" s="192">
        <v>286.83</v>
      </c>
      <c r="F27" s="193">
        <v>286.83</v>
      </c>
      <c r="G27" s="193" t="s">
        <v>37</v>
      </c>
      <c r="H27" s="193">
        <f t="shared" si="0"/>
        <v>20.078099999999999</v>
      </c>
      <c r="I27" s="193">
        <f t="shared" si="4"/>
        <v>5.7366000000000001</v>
      </c>
      <c r="J27" s="193">
        <f t="shared" si="1"/>
        <v>2.8683000000000001</v>
      </c>
      <c r="K27" s="193">
        <f t="shared" si="2"/>
        <v>44.171820000000004</v>
      </c>
      <c r="L27" s="180">
        <f t="shared" si="5"/>
        <v>359.68482</v>
      </c>
      <c r="M27" s="181">
        <f t="shared" si="3"/>
        <v>282.84306299999997</v>
      </c>
      <c r="N27" s="181">
        <f t="shared" si="3"/>
        <v>250.144443</v>
      </c>
      <c r="O27" s="181">
        <f t="shared" si="3"/>
        <v>227.25540900000001</v>
      </c>
      <c r="P27" s="182">
        <f t="shared" si="3"/>
        <v>201.09651299999999</v>
      </c>
    </row>
    <row r="28" spans="1:16" s="26" customFormat="1" ht="15" customHeight="1">
      <c r="A28" s="183">
        <v>1508</v>
      </c>
      <c r="B28" s="197" t="s">
        <v>184</v>
      </c>
      <c r="C28" s="175">
        <v>1</v>
      </c>
      <c r="D28" s="176">
        <v>1.31</v>
      </c>
      <c r="E28" s="177">
        <v>14.28</v>
      </c>
      <c r="F28" s="178">
        <v>14.28</v>
      </c>
      <c r="G28" s="185" t="s">
        <v>37</v>
      </c>
      <c r="H28" s="177">
        <f t="shared" si="0"/>
        <v>0.99960000000000004</v>
      </c>
      <c r="I28" s="177">
        <f t="shared" si="4"/>
        <v>0.28560000000000002</v>
      </c>
      <c r="J28" s="177">
        <f t="shared" si="1"/>
        <v>0.14280000000000001</v>
      </c>
      <c r="K28" s="186">
        <f t="shared" si="2"/>
        <v>2.1991200000000002</v>
      </c>
      <c r="L28" s="180">
        <f t="shared" si="5"/>
        <v>17.907119999999999</v>
      </c>
      <c r="M28" s="181">
        <f t="shared" ref="M28:P39" si="6">(($F28-($F28*M$19)+$H28+3.5%*$F28+$J28))*1.14</f>
        <v>14.081507999999996</v>
      </c>
      <c r="N28" s="181">
        <f t="shared" si="6"/>
        <v>12.453588</v>
      </c>
      <c r="O28" s="181">
        <f t="shared" si="6"/>
        <v>11.314043999999999</v>
      </c>
      <c r="P28" s="182">
        <f t="shared" si="6"/>
        <v>10.011707999999999</v>
      </c>
    </row>
    <row r="29" spans="1:16" s="26" customFormat="1" ht="15" customHeight="1">
      <c r="A29" s="183">
        <v>2669</v>
      </c>
      <c r="B29" s="197" t="s">
        <v>186</v>
      </c>
      <c r="C29" s="190">
        <v>7</v>
      </c>
      <c r="D29" s="191">
        <v>14</v>
      </c>
      <c r="E29" s="192">
        <v>121.28</v>
      </c>
      <c r="F29" s="193">
        <v>121.28</v>
      </c>
      <c r="G29" s="194" t="s">
        <v>37</v>
      </c>
      <c r="H29" s="192">
        <f t="shared" si="0"/>
        <v>8.4896000000000011</v>
      </c>
      <c r="I29" s="192">
        <f t="shared" si="4"/>
        <v>2.4256000000000002</v>
      </c>
      <c r="J29" s="192">
        <f t="shared" si="1"/>
        <v>1.2128000000000001</v>
      </c>
      <c r="K29" s="186">
        <f t="shared" si="2"/>
        <v>18.677119999999999</v>
      </c>
      <c r="L29" s="180">
        <f t="shared" si="5"/>
        <v>152.08511999999999</v>
      </c>
      <c r="M29" s="181">
        <f t="shared" si="6"/>
        <v>119.59420799999999</v>
      </c>
      <c r="N29" s="181">
        <f t="shared" si="6"/>
        <v>105.76828799999998</v>
      </c>
      <c r="O29" s="181">
        <f t="shared" si="6"/>
        <v>96.090143999999981</v>
      </c>
      <c r="P29" s="182">
        <f t="shared" si="6"/>
        <v>85.029407999999989</v>
      </c>
    </row>
    <row r="30" spans="1:16" s="26" customFormat="1" ht="15" customHeight="1">
      <c r="A30" s="183">
        <v>2670</v>
      </c>
      <c r="B30" s="197" t="s">
        <v>190</v>
      </c>
      <c r="C30" s="190">
        <v>7</v>
      </c>
      <c r="D30" s="191">
        <v>14</v>
      </c>
      <c r="E30" s="192">
        <v>121.28</v>
      </c>
      <c r="F30" s="193">
        <v>121.28</v>
      </c>
      <c r="G30" s="194" t="s">
        <v>37</v>
      </c>
      <c r="H30" s="192">
        <f t="shared" si="0"/>
        <v>8.4896000000000011</v>
      </c>
      <c r="I30" s="192">
        <f t="shared" si="4"/>
        <v>2.4256000000000002</v>
      </c>
      <c r="J30" s="192">
        <f t="shared" si="1"/>
        <v>1.2128000000000001</v>
      </c>
      <c r="K30" s="186">
        <f t="shared" si="2"/>
        <v>18.677119999999999</v>
      </c>
      <c r="L30" s="180">
        <f t="shared" si="5"/>
        <v>152.08511999999999</v>
      </c>
      <c r="M30" s="181">
        <f t="shared" si="6"/>
        <v>119.59420799999999</v>
      </c>
      <c r="N30" s="181">
        <f t="shared" si="6"/>
        <v>105.76828799999998</v>
      </c>
      <c r="O30" s="181">
        <f t="shared" si="6"/>
        <v>96.090143999999981</v>
      </c>
      <c r="P30" s="182">
        <f t="shared" si="6"/>
        <v>85.029407999999989</v>
      </c>
    </row>
    <row r="31" spans="1:16" s="26" customFormat="1" ht="15" customHeight="1">
      <c r="A31" s="198">
        <v>242</v>
      </c>
      <c r="B31" s="197" t="s">
        <v>159</v>
      </c>
      <c r="C31" s="187">
        <v>1</v>
      </c>
      <c r="D31" s="176">
        <v>17.95</v>
      </c>
      <c r="E31" s="177">
        <v>212.86</v>
      </c>
      <c r="F31" s="178">
        <v>212.86</v>
      </c>
      <c r="G31" s="185" t="s">
        <v>37</v>
      </c>
      <c r="H31" s="177">
        <f t="shared" si="0"/>
        <v>14.900200000000002</v>
      </c>
      <c r="I31" s="177">
        <f t="shared" si="4"/>
        <v>4.2572000000000001</v>
      </c>
      <c r="J31" s="177">
        <f t="shared" si="1"/>
        <v>2.1286</v>
      </c>
      <c r="K31" s="186">
        <f t="shared" si="2"/>
        <v>32.780440000000006</v>
      </c>
      <c r="L31" s="180">
        <f t="shared" si="5"/>
        <v>266.92644000000007</v>
      </c>
      <c r="M31" s="181">
        <f t="shared" si="6"/>
        <v>209.90124600000001</v>
      </c>
      <c r="N31" s="181">
        <f t="shared" si="6"/>
        <v>185.63520600000001</v>
      </c>
      <c r="O31" s="181">
        <f t="shared" si="6"/>
        <v>168.648978</v>
      </c>
      <c r="P31" s="182">
        <f t="shared" si="6"/>
        <v>149.23614600000002</v>
      </c>
    </row>
    <row r="32" spans="1:16" s="26" customFormat="1" ht="15" customHeight="1">
      <c r="A32" s="198">
        <v>3114</v>
      </c>
      <c r="B32" s="197" t="s">
        <v>160</v>
      </c>
      <c r="C32" s="175">
        <v>1</v>
      </c>
      <c r="D32" s="176">
        <v>9</v>
      </c>
      <c r="E32" s="177">
        <v>108.4</v>
      </c>
      <c r="F32" s="178">
        <v>108.4</v>
      </c>
      <c r="G32" s="185" t="s">
        <v>37</v>
      </c>
      <c r="H32" s="177">
        <f t="shared" si="0"/>
        <v>7.588000000000001</v>
      </c>
      <c r="I32" s="177">
        <f t="shared" si="4"/>
        <v>2.1680000000000001</v>
      </c>
      <c r="J32" s="177">
        <f t="shared" si="1"/>
        <v>1.0840000000000001</v>
      </c>
      <c r="K32" s="186">
        <f t="shared" si="2"/>
        <v>16.693600000000004</v>
      </c>
      <c r="L32" s="180">
        <f t="shared" si="5"/>
        <v>135.93360000000001</v>
      </c>
      <c r="M32" s="181">
        <f t="shared" si="6"/>
        <v>106.89323999999999</v>
      </c>
      <c r="N32" s="181">
        <f t="shared" si="6"/>
        <v>94.535640000000001</v>
      </c>
      <c r="O32" s="181">
        <f t="shared" si="6"/>
        <v>85.885320000000007</v>
      </c>
      <c r="P32" s="182">
        <f t="shared" si="6"/>
        <v>75.99924</v>
      </c>
    </row>
    <row r="33" spans="1:16" s="26" customFormat="1" ht="15" customHeight="1">
      <c r="A33" s="198">
        <v>3122</v>
      </c>
      <c r="B33" s="197" t="s">
        <v>161</v>
      </c>
      <c r="C33" s="190">
        <v>1</v>
      </c>
      <c r="D33" s="406">
        <v>10</v>
      </c>
      <c r="E33" s="192">
        <v>120.8</v>
      </c>
      <c r="F33" s="193">
        <v>120.8</v>
      </c>
      <c r="G33" s="194" t="s">
        <v>37</v>
      </c>
      <c r="H33" s="192">
        <f t="shared" si="0"/>
        <v>8.4560000000000013</v>
      </c>
      <c r="I33" s="192">
        <f t="shared" si="4"/>
        <v>2.4159999999999999</v>
      </c>
      <c r="J33" s="192">
        <f t="shared" si="1"/>
        <v>1.208</v>
      </c>
      <c r="K33" s="397">
        <f t="shared" si="2"/>
        <v>18.603200000000001</v>
      </c>
      <c r="L33" s="398">
        <f t="shared" si="5"/>
        <v>151.48320000000001</v>
      </c>
      <c r="M33" s="399">
        <f t="shared" si="6"/>
        <v>119.12087999999999</v>
      </c>
      <c r="N33" s="399">
        <f t="shared" si="6"/>
        <v>105.34967999999999</v>
      </c>
      <c r="O33" s="399">
        <f t="shared" si="6"/>
        <v>95.709839999999986</v>
      </c>
      <c r="P33" s="407">
        <f t="shared" si="6"/>
        <v>84.692879999999974</v>
      </c>
    </row>
    <row r="34" spans="1:16" s="26" customFormat="1" ht="15" customHeight="1">
      <c r="A34" s="552" t="s">
        <v>283</v>
      </c>
      <c r="B34" s="553"/>
      <c r="C34" s="459"/>
      <c r="D34" s="380"/>
      <c r="E34" s="381"/>
      <c r="F34" s="381"/>
      <c r="G34" s="412"/>
      <c r="H34" s="381"/>
      <c r="I34" s="381">
        <f t="shared" si="4"/>
        <v>0</v>
      </c>
      <c r="J34" s="381">
        <f t="shared" si="1"/>
        <v>0</v>
      </c>
      <c r="K34" s="381">
        <f t="shared" si="2"/>
        <v>0</v>
      </c>
      <c r="L34" s="381"/>
      <c r="M34" s="214"/>
      <c r="N34" s="214"/>
      <c r="O34" s="214"/>
      <c r="P34" s="210"/>
    </row>
    <row r="35" spans="1:16" s="26" customFormat="1" ht="15" customHeight="1">
      <c r="A35" s="430">
        <v>2190</v>
      </c>
      <c r="B35" s="462" t="s">
        <v>294</v>
      </c>
      <c r="C35" s="460">
        <v>1</v>
      </c>
      <c r="D35" s="408">
        <v>68.849999999999994</v>
      </c>
      <c r="E35" s="340">
        <v>698.19</v>
      </c>
      <c r="F35" s="340">
        <v>698.19</v>
      </c>
      <c r="G35" s="409" t="s">
        <v>37</v>
      </c>
      <c r="H35" s="340">
        <f t="shared" si="0"/>
        <v>48.873300000000008</v>
      </c>
      <c r="I35" s="340">
        <f t="shared" si="4"/>
        <v>13.963800000000001</v>
      </c>
      <c r="J35" s="340">
        <f t="shared" si="1"/>
        <v>6.9819000000000004</v>
      </c>
      <c r="K35" s="410">
        <f t="shared" si="2"/>
        <v>107.52126000000001</v>
      </c>
      <c r="L35" s="411">
        <f t="shared" si="5"/>
        <v>875.53026</v>
      </c>
      <c r="M35" s="230">
        <f t="shared" si="6"/>
        <v>688.48515899999995</v>
      </c>
      <c r="N35" s="230">
        <f t="shared" si="6"/>
        <v>608.89149900000007</v>
      </c>
      <c r="O35" s="230">
        <f t="shared" si="6"/>
        <v>553.17593699999998</v>
      </c>
      <c r="P35" s="334">
        <f t="shared" si="6"/>
        <v>489.50100900000001</v>
      </c>
    </row>
    <row r="36" spans="1:16" s="26" customFormat="1" ht="15" customHeight="1">
      <c r="A36" s="345">
        <v>2191</v>
      </c>
      <c r="B36" s="462" t="s">
        <v>295</v>
      </c>
      <c r="C36" s="461">
        <v>1</v>
      </c>
      <c r="D36" s="199">
        <v>68.849999999999994</v>
      </c>
      <c r="E36" s="177">
        <v>698.19</v>
      </c>
      <c r="F36" s="177">
        <v>698.19</v>
      </c>
      <c r="G36" s="383" t="s">
        <v>37</v>
      </c>
      <c r="H36" s="177">
        <f t="shared" si="0"/>
        <v>48.873300000000008</v>
      </c>
      <c r="I36" s="177">
        <f t="shared" si="4"/>
        <v>13.963800000000001</v>
      </c>
      <c r="J36" s="177">
        <f t="shared" si="1"/>
        <v>6.9819000000000004</v>
      </c>
      <c r="K36" s="186">
        <f t="shared" si="2"/>
        <v>107.52126000000001</v>
      </c>
      <c r="L36" s="180">
        <f t="shared" si="5"/>
        <v>875.53026</v>
      </c>
      <c r="M36" s="181">
        <f t="shared" si="6"/>
        <v>688.48515899999995</v>
      </c>
      <c r="N36" s="181">
        <f t="shared" si="6"/>
        <v>608.89149900000007</v>
      </c>
      <c r="O36" s="181">
        <f t="shared" si="6"/>
        <v>553.17593699999998</v>
      </c>
      <c r="P36" s="182">
        <f t="shared" si="6"/>
        <v>489.50100900000001</v>
      </c>
    </row>
    <row r="37" spans="1:16" s="26" customFormat="1" ht="15" customHeight="1">
      <c r="A37" s="345">
        <v>2192</v>
      </c>
      <c r="B37" s="462" t="s">
        <v>296</v>
      </c>
      <c r="C37" s="461">
        <v>1</v>
      </c>
      <c r="D37" s="199">
        <v>68.849999999999994</v>
      </c>
      <c r="E37" s="177">
        <v>698.19</v>
      </c>
      <c r="F37" s="177">
        <v>698.19</v>
      </c>
      <c r="G37" s="383" t="s">
        <v>37</v>
      </c>
      <c r="H37" s="177">
        <f t="shared" si="0"/>
        <v>48.873300000000008</v>
      </c>
      <c r="I37" s="177">
        <f t="shared" si="4"/>
        <v>13.963800000000001</v>
      </c>
      <c r="J37" s="177">
        <f t="shared" si="1"/>
        <v>6.9819000000000004</v>
      </c>
      <c r="K37" s="186">
        <f t="shared" si="2"/>
        <v>107.52126000000001</v>
      </c>
      <c r="L37" s="180">
        <f t="shared" si="5"/>
        <v>875.53026</v>
      </c>
      <c r="M37" s="181">
        <f t="shared" si="6"/>
        <v>688.48515899999995</v>
      </c>
      <c r="N37" s="181">
        <f t="shared" si="6"/>
        <v>608.89149900000007</v>
      </c>
      <c r="O37" s="181">
        <f t="shared" si="6"/>
        <v>553.17593699999998</v>
      </c>
      <c r="P37" s="182">
        <f t="shared" si="6"/>
        <v>489.50100900000001</v>
      </c>
    </row>
    <row r="38" spans="1:16" s="26" customFormat="1" ht="15" customHeight="1">
      <c r="A38" s="345">
        <v>2193</v>
      </c>
      <c r="B38" s="462" t="s">
        <v>297</v>
      </c>
      <c r="C38" s="461">
        <v>1</v>
      </c>
      <c r="D38" s="199">
        <v>68.849999999999994</v>
      </c>
      <c r="E38" s="177">
        <v>698.19</v>
      </c>
      <c r="F38" s="177">
        <v>698.19</v>
      </c>
      <c r="G38" s="383" t="s">
        <v>37</v>
      </c>
      <c r="H38" s="177">
        <f t="shared" si="0"/>
        <v>48.873300000000008</v>
      </c>
      <c r="I38" s="177">
        <f t="shared" si="4"/>
        <v>13.963800000000001</v>
      </c>
      <c r="J38" s="177">
        <f t="shared" si="1"/>
        <v>6.9819000000000004</v>
      </c>
      <c r="K38" s="186">
        <f t="shared" si="2"/>
        <v>107.52126000000001</v>
      </c>
      <c r="L38" s="180">
        <f t="shared" si="5"/>
        <v>875.53026</v>
      </c>
      <c r="M38" s="181">
        <f t="shared" si="6"/>
        <v>688.48515899999995</v>
      </c>
      <c r="N38" s="181">
        <f t="shared" si="6"/>
        <v>608.89149900000007</v>
      </c>
      <c r="O38" s="181">
        <f t="shared" si="6"/>
        <v>553.17593699999998</v>
      </c>
      <c r="P38" s="182">
        <f t="shared" si="6"/>
        <v>489.50100900000001</v>
      </c>
    </row>
    <row r="39" spans="1:16" s="26" customFormat="1" ht="15" customHeight="1">
      <c r="A39" s="345">
        <v>2194</v>
      </c>
      <c r="B39" s="462" t="s">
        <v>298</v>
      </c>
      <c r="C39" s="461">
        <v>1</v>
      </c>
      <c r="D39" s="199">
        <v>68.849999999999994</v>
      </c>
      <c r="E39" s="177">
        <v>698.19</v>
      </c>
      <c r="F39" s="177">
        <v>698.19</v>
      </c>
      <c r="G39" s="383" t="s">
        <v>37</v>
      </c>
      <c r="H39" s="177">
        <f t="shared" si="0"/>
        <v>48.873300000000008</v>
      </c>
      <c r="I39" s="177">
        <f t="shared" si="4"/>
        <v>13.963800000000001</v>
      </c>
      <c r="J39" s="177">
        <f t="shared" si="1"/>
        <v>6.9819000000000004</v>
      </c>
      <c r="K39" s="186">
        <f t="shared" si="2"/>
        <v>107.52126000000001</v>
      </c>
      <c r="L39" s="180">
        <f t="shared" si="5"/>
        <v>875.53026</v>
      </c>
      <c r="M39" s="181">
        <f t="shared" si="6"/>
        <v>688.48515899999995</v>
      </c>
      <c r="N39" s="181">
        <f t="shared" si="6"/>
        <v>608.89149900000007</v>
      </c>
      <c r="O39" s="181">
        <f t="shared" si="6"/>
        <v>553.17593699999998</v>
      </c>
      <c r="P39" s="182">
        <f t="shared" si="6"/>
        <v>489.50100900000001</v>
      </c>
    </row>
    <row r="40" spans="1:16" s="32" customFormat="1" ht="15" customHeight="1">
      <c r="A40" s="350" t="s">
        <v>162</v>
      </c>
      <c r="B40" s="351"/>
      <c r="C40" s="200"/>
      <c r="D40" s="201"/>
      <c r="E40" s="202"/>
      <c r="F40" s="202"/>
      <c r="G40" s="203"/>
      <c r="H40" s="204"/>
      <c r="I40" s="204"/>
      <c r="J40" s="205"/>
      <c r="K40" s="206"/>
      <c r="L40" s="202"/>
      <c r="M40" s="207"/>
      <c r="N40" s="207"/>
      <c r="O40" s="207"/>
      <c r="P40" s="208"/>
    </row>
    <row r="41" spans="1:16" s="26" customFormat="1" ht="15" customHeight="1">
      <c r="A41" s="198">
        <v>4764</v>
      </c>
      <c r="B41" s="197" t="s">
        <v>163</v>
      </c>
      <c r="C41" s="175">
        <v>1</v>
      </c>
      <c r="D41" s="176">
        <v>60.9</v>
      </c>
      <c r="E41" s="209">
        <v>702.82</v>
      </c>
      <c r="F41" s="178">
        <v>702.82</v>
      </c>
      <c r="G41" s="185" t="s">
        <v>37</v>
      </c>
      <c r="H41" s="177">
        <f>IF($G41="P",$F41*$H$19,IF($G41="A",$H$19*$F41,IF($G41="L",0%*$F41)))</f>
        <v>49.197400000000009</v>
      </c>
      <c r="I41" s="177">
        <f>$F41*$I$19</f>
        <v>14.056400000000002</v>
      </c>
      <c r="J41" s="177">
        <f>F41*$J$19</f>
        <v>7.0282000000000009</v>
      </c>
      <c r="K41" s="186">
        <f>(F41+H41+I41+J41)*$K$19</f>
        <v>108.23428000000003</v>
      </c>
      <c r="L41" s="180">
        <f t="shared" si="5"/>
        <v>881.3362800000001</v>
      </c>
      <c r="M41" s="181">
        <f t="shared" ref="M41:P45" si="7">(($F41-($F41*M$19)+$H41+3.5%*$F41+$J41))*1.14</f>
        <v>693.05080199999998</v>
      </c>
      <c r="N41" s="181">
        <f t="shared" si="7"/>
        <v>612.92932200000007</v>
      </c>
      <c r="O41" s="181">
        <f t="shared" si="7"/>
        <v>556.84428600000012</v>
      </c>
      <c r="P41" s="210">
        <f t="shared" si="7"/>
        <v>492.74710200000004</v>
      </c>
    </row>
    <row r="42" spans="1:16" s="26" customFormat="1" ht="15" customHeight="1">
      <c r="A42" s="198">
        <v>4765</v>
      </c>
      <c r="B42" s="197" t="s">
        <v>164</v>
      </c>
      <c r="C42" s="175">
        <v>1</v>
      </c>
      <c r="D42" s="176">
        <v>60.9</v>
      </c>
      <c r="E42" s="209">
        <v>702.82</v>
      </c>
      <c r="F42" s="178">
        <v>702.82</v>
      </c>
      <c r="G42" s="185" t="s">
        <v>37</v>
      </c>
      <c r="H42" s="177">
        <f>IF($G42="P",$F42*$H$19,IF($G42="A",$H$19*$F42,IF($G42="L",0%*$F42)))</f>
        <v>49.197400000000009</v>
      </c>
      <c r="I42" s="177">
        <f>$F42*$I$19</f>
        <v>14.056400000000002</v>
      </c>
      <c r="J42" s="177">
        <f>F42*$J$19</f>
        <v>7.0282000000000009</v>
      </c>
      <c r="K42" s="186">
        <f>(F42+H42+I42+J42)*$K$19</f>
        <v>108.23428000000003</v>
      </c>
      <c r="L42" s="180">
        <f t="shared" si="5"/>
        <v>881.3362800000001</v>
      </c>
      <c r="M42" s="181">
        <f t="shared" si="7"/>
        <v>693.05080199999998</v>
      </c>
      <c r="N42" s="181">
        <f t="shared" si="7"/>
        <v>612.92932200000007</v>
      </c>
      <c r="O42" s="181">
        <f t="shared" si="7"/>
        <v>556.84428600000012</v>
      </c>
      <c r="P42" s="210">
        <f t="shared" si="7"/>
        <v>492.74710200000004</v>
      </c>
    </row>
    <row r="43" spans="1:16" s="26" customFormat="1" ht="15" customHeight="1">
      <c r="A43" s="198">
        <v>4766</v>
      </c>
      <c r="B43" s="197" t="s">
        <v>165</v>
      </c>
      <c r="C43" s="175">
        <v>1</v>
      </c>
      <c r="D43" s="176">
        <v>60.9</v>
      </c>
      <c r="E43" s="209">
        <v>702.82</v>
      </c>
      <c r="F43" s="178">
        <v>702.82</v>
      </c>
      <c r="G43" s="185" t="s">
        <v>37</v>
      </c>
      <c r="H43" s="177">
        <f>IF($G43="P",$F43*$H$19,IF($G43="A",$H$19*$F43,IF($G43="L",0%*$F43)))</f>
        <v>49.197400000000009</v>
      </c>
      <c r="I43" s="177">
        <f>$F43*$I$19</f>
        <v>14.056400000000002</v>
      </c>
      <c r="J43" s="177">
        <f>F43*$J$19</f>
        <v>7.0282000000000009</v>
      </c>
      <c r="K43" s="186">
        <f>(F43+H43+I43+J43)*$K$19</f>
        <v>108.23428000000003</v>
      </c>
      <c r="L43" s="180">
        <f t="shared" si="5"/>
        <v>881.3362800000001</v>
      </c>
      <c r="M43" s="181">
        <f t="shared" si="7"/>
        <v>693.05080199999998</v>
      </c>
      <c r="N43" s="181">
        <f t="shared" si="7"/>
        <v>612.92932200000007</v>
      </c>
      <c r="O43" s="181">
        <f t="shared" si="7"/>
        <v>556.84428600000012</v>
      </c>
      <c r="P43" s="210">
        <f t="shared" si="7"/>
        <v>492.74710200000004</v>
      </c>
    </row>
    <row r="44" spans="1:16" s="26" customFormat="1" ht="15" customHeight="1">
      <c r="A44" s="198">
        <v>4767</v>
      </c>
      <c r="B44" s="197" t="s">
        <v>166</v>
      </c>
      <c r="C44" s="187">
        <v>1</v>
      </c>
      <c r="D44" s="176">
        <v>60.9</v>
      </c>
      <c r="E44" s="209">
        <v>702.82</v>
      </c>
      <c r="F44" s="178">
        <v>702.82</v>
      </c>
      <c r="G44" s="185" t="s">
        <v>37</v>
      </c>
      <c r="H44" s="177">
        <f>IF($G44="P",$F44*$H$19,IF($G44="A",$H$19*$F44,IF($G44="L",0%*$F44)))</f>
        <v>49.197400000000009</v>
      </c>
      <c r="I44" s="177">
        <f>$F44*$I$19</f>
        <v>14.056400000000002</v>
      </c>
      <c r="J44" s="177">
        <f>F44*$J$19</f>
        <v>7.0282000000000009</v>
      </c>
      <c r="K44" s="186">
        <f>(F44+H44+I44+J44)*$K$19</f>
        <v>108.23428000000003</v>
      </c>
      <c r="L44" s="180">
        <f t="shared" si="5"/>
        <v>881.3362800000001</v>
      </c>
      <c r="M44" s="181">
        <f t="shared" si="7"/>
        <v>693.05080199999998</v>
      </c>
      <c r="N44" s="181">
        <f t="shared" si="7"/>
        <v>612.92932200000007</v>
      </c>
      <c r="O44" s="181">
        <f t="shared" si="7"/>
        <v>556.84428600000012</v>
      </c>
      <c r="P44" s="210">
        <f t="shared" si="7"/>
        <v>492.74710200000004</v>
      </c>
    </row>
    <row r="45" spans="1:16" s="26" customFormat="1" ht="15" customHeight="1">
      <c r="A45" s="198">
        <v>3476</v>
      </c>
      <c r="B45" s="197" t="s">
        <v>167</v>
      </c>
      <c r="C45" s="190">
        <v>1</v>
      </c>
      <c r="D45" s="191">
        <v>60.9</v>
      </c>
      <c r="E45" s="247">
        <v>702.82</v>
      </c>
      <c r="F45" s="193">
        <v>702.82</v>
      </c>
      <c r="G45" s="194" t="s">
        <v>37</v>
      </c>
      <c r="H45" s="192">
        <f>IF($G45="P",$F45*$H$19,IF($G45="A",$H$19*$F45,IF($G45="L",0%*$F45)))</f>
        <v>49.197400000000009</v>
      </c>
      <c r="I45" s="192">
        <f>$F45*$I$19</f>
        <v>14.056400000000002</v>
      </c>
      <c r="J45" s="192">
        <f>F45*$J$19</f>
        <v>7.0282000000000009</v>
      </c>
      <c r="K45" s="397">
        <f>(F45+H45+I45+J45)*$K$19</f>
        <v>108.23428000000003</v>
      </c>
      <c r="L45" s="398">
        <f t="shared" si="5"/>
        <v>881.3362800000001</v>
      </c>
      <c r="M45" s="399">
        <f t="shared" si="7"/>
        <v>693.05080199999998</v>
      </c>
      <c r="N45" s="399">
        <f t="shared" si="7"/>
        <v>612.92932200000007</v>
      </c>
      <c r="O45" s="399">
        <f t="shared" si="7"/>
        <v>556.84428600000012</v>
      </c>
      <c r="P45" s="279">
        <f t="shared" si="7"/>
        <v>492.74710200000004</v>
      </c>
    </row>
    <row r="46" spans="1:16" s="26" customFormat="1" ht="15" customHeight="1">
      <c r="A46" s="352" t="s">
        <v>95</v>
      </c>
      <c r="B46" s="463"/>
      <c r="C46" s="401"/>
      <c r="D46" s="402"/>
      <c r="E46" s="386"/>
      <c r="F46" s="386"/>
      <c r="G46" s="403"/>
      <c r="H46" s="404"/>
      <c r="I46" s="404"/>
      <c r="J46" s="386"/>
      <c r="K46" s="404"/>
      <c r="L46" s="386"/>
      <c r="M46" s="405"/>
      <c r="N46" s="405"/>
      <c r="O46" s="405"/>
      <c r="P46" s="279"/>
    </row>
    <row r="47" spans="1:16" s="26" customFormat="1" ht="15" customHeight="1">
      <c r="A47" s="354" t="s">
        <v>231</v>
      </c>
      <c r="B47" s="464"/>
      <c r="C47" s="243"/>
      <c r="D47" s="264"/>
      <c r="E47" s="246"/>
      <c r="F47" s="246"/>
      <c r="G47" s="264"/>
      <c r="H47" s="400"/>
      <c r="I47" s="400"/>
      <c r="J47" s="246"/>
      <c r="K47" s="400"/>
      <c r="L47" s="246"/>
      <c r="M47" s="265"/>
      <c r="N47" s="265"/>
      <c r="O47" s="265"/>
      <c r="P47" s="231"/>
    </row>
    <row r="48" spans="1:16" s="26" customFormat="1" ht="15" customHeight="1">
      <c r="A48" s="216">
        <v>1432</v>
      </c>
      <c r="B48" s="184" t="s">
        <v>232</v>
      </c>
      <c r="C48" s="260">
        <v>1</v>
      </c>
      <c r="D48" s="224">
        <v>35.25</v>
      </c>
      <c r="E48" s="225">
        <v>392</v>
      </c>
      <c r="F48" s="225">
        <v>392</v>
      </c>
      <c r="G48" s="227" t="s">
        <v>37</v>
      </c>
      <c r="H48" s="225">
        <f t="shared" ref="H48:H64" si="8">IF($G48="P",$F48*$H$19,IF($G48="A",$H$19*$F48,IF($G48="L",0%*$F48)))</f>
        <v>27.44</v>
      </c>
      <c r="I48" s="225">
        <f t="shared" ref="I48:I64" si="9">$F48*$I$19</f>
        <v>7.84</v>
      </c>
      <c r="J48" s="225">
        <f t="shared" ref="J48:J64" si="10">F48*$J$19</f>
        <v>3.92</v>
      </c>
      <c r="K48" s="228">
        <f t="shared" ref="K48:K64" si="11">(F48+H48+I48+J48)*$K$19</f>
        <v>60.368000000000002</v>
      </c>
      <c r="L48" s="229">
        <f t="shared" ref="L48:L78" si="12">SUM(F48:K48)</f>
        <v>491.56799999999998</v>
      </c>
      <c r="M48" s="230">
        <f t="shared" ref="M48:P64" si="13">(($F48-($F48*M$19)+$H48+3.5%*$F48+$J48))*1.14</f>
        <v>386.55119999999999</v>
      </c>
      <c r="N48" s="230">
        <f t="shared" si="13"/>
        <v>341.86320000000001</v>
      </c>
      <c r="O48" s="230">
        <f t="shared" si="13"/>
        <v>310.58160000000004</v>
      </c>
      <c r="P48" s="231">
        <f t="shared" si="13"/>
        <v>274.83119999999997</v>
      </c>
    </row>
    <row r="49" spans="1:16" s="26" customFormat="1" ht="15" customHeight="1">
      <c r="A49" s="216">
        <v>1436</v>
      </c>
      <c r="B49" s="184" t="s">
        <v>233</v>
      </c>
      <c r="C49" s="187">
        <v>1</v>
      </c>
      <c r="D49" s="176">
        <v>50</v>
      </c>
      <c r="E49" s="209">
        <v>554</v>
      </c>
      <c r="F49" s="209">
        <v>554</v>
      </c>
      <c r="G49" s="217" t="s">
        <v>37</v>
      </c>
      <c r="H49" s="209">
        <f t="shared" si="8"/>
        <v>38.78</v>
      </c>
      <c r="I49" s="209">
        <f t="shared" si="9"/>
        <v>11.08</v>
      </c>
      <c r="J49" s="209">
        <f t="shared" si="10"/>
        <v>5.54</v>
      </c>
      <c r="K49" s="218">
        <f t="shared" si="11"/>
        <v>85.316000000000003</v>
      </c>
      <c r="L49" s="219">
        <f t="shared" si="12"/>
        <v>694.71600000000001</v>
      </c>
      <c r="M49" s="181">
        <f t="shared" si="13"/>
        <v>546.29939999999988</v>
      </c>
      <c r="N49" s="181">
        <f t="shared" si="13"/>
        <v>483.14339999999999</v>
      </c>
      <c r="O49" s="181">
        <f t="shared" si="13"/>
        <v>438.93419999999998</v>
      </c>
      <c r="P49" s="210">
        <f t="shared" si="13"/>
        <v>388.40939999999995</v>
      </c>
    </row>
    <row r="50" spans="1:16" s="26" customFormat="1" ht="15" customHeight="1">
      <c r="A50" s="216">
        <v>1433</v>
      </c>
      <c r="B50" s="220" t="s">
        <v>234</v>
      </c>
      <c r="C50" s="187">
        <v>1</v>
      </c>
      <c r="D50" s="176">
        <v>22.2</v>
      </c>
      <c r="E50" s="209">
        <v>260</v>
      </c>
      <c r="F50" s="209">
        <v>260</v>
      </c>
      <c r="G50" s="217" t="s">
        <v>37</v>
      </c>
      <c r="H50" s="209">
        <f t="shared" si="8"/>
        <v>18.200000000000003</v>
      </c>
      <c r="I50" s="209">
        <f t="shared" si="9"/>
        <v>5.2</v>
      </c>
      <c r="J50" s="209">
        <f t="shared" si="10"/>
        <v>2.6</v>
      </c>
      <c r="K50" s="218">
        <f t="shared" si="11"/>
        <v>40.040000000000006</v>
      </c>
      <c r="L50" s="219">
        <f t="shared" si="12"/>
        <v>326.04000000000002</v>
      </c>
      <c r="M50" s="181">
        <f t="shared" si="13"/>
        <v>256.38599999999997</v>
      </c>
      <c r="N50" s="181">
        <f t="shared" si="13"/>
        <v>226.74599999999995</v>
      </c>
      <c r="O50" s="181">
        <f t="shared" si="13"/>
        <v>205.99799999999996</v>
      </c>
      <c r="P50" s="210">
        <f t="shared" si="13"/>
        <v>182.28599999999994</v>
      </c>
    </row>
    <row r="51" spans="1:16" s="26" customFormat="1" ht="15" customHeight="1">
      <c r="A51" s="216">
        <v>1435</v>
      </c>
      <c r="B51" s="184" t="s">
        <v>235</v>
      </c>
      <c r="C51" s="187">
        <v>1</v>
      </c>
      <c r="D51" s="176">
        <v>31.2</v>
      </c>
      <c r="E51" s="209">
        <v>374</v>
      </c>
      <c r="F51" s="209">
        <v>374</v>
      </c>
      <c r="G51" s="217" t="s">
        <v>37</v>
      </c>
      <c r="H51" s="209">
        <f t="shared" si="8"/>
        <v>26.180000000000003</v>
      </c>
      <c r="I51" s="209">
        <f t="shared" si="9"/>
        <v>7.48</v>
      </c>
      <c r="J51" s="209">
        <f t="shared" si="10"/>
        <v>3.74</v>
      </c>
      <c r="K51" s="218">
        <f t="shared" si="11"/>
        <v>57.596000000000011</v>
      </c>
      <c r="L51" s="219">
        <f t="shared" si="12"/>
        <v>468.99600000000004</v>
      </c>
      <c r="M51" s="181">
        <f t="shared" si="13"/>
        <v>368.80139999999994</v>
      </c>
      <c r="N51" s="181">
        <f t="shared" si="13"/>
        <v>326.16539999999992</v>
      </c>
      <c r="O51" s="181">
        <f t="shared" si="13"/>
        <v>296.3202</v>
      </c>
      <c r="P51" s="210">
        <f t="shared" si="13"/>
        <v>262.21140000000003</v>
      </c>
    </row>
    <row r="52" spans="1:16" s="26" customFormat="1" ht="15" customHeight="1">
      <c r="A52" s="216">
        <v>1437</v>
      </c>
      <c r="B52" s="184" t="s">
        <v>236</v>
      </c>
      <c r="C52" s="187">
        <v>1</v>
      </c>
      <c r="D52" s="176">
        <v>54.75</v>
      </c>
      <c r="E52" s="209">
        <v>619.66999999999996</v>
      </c>
      <c r="F52" s="209">
        <v>619.66999999999996</v>
      </c>
      <c r="G52" s="217" t="s">
        <v>37</v>
      </c>
      <c r="H52" s="209">
        <f t="shared" si="8"/>
        <v>43.376899999999999</v>
      </c>
      <c r="I52" s="209">
        <f t="shared" si="9"/>
        <v>12.3934</v>
      </c>
      <c r="J52" s="209">
        <f t="shared" si="10"/>
        <v>6.1966999999999999</v>
      </c>
      <c r="K52" s="218">
        <f t="shared" si="11"/>
        <v>95.429180000000002</v>
      </c>
      <c r="L52" s="219">
        <f t="shared" si="12"/>
        <v>777.06617999999992</v>
      </c>
      <c r="M52" s="181">
        <f t="shared" si="13"/>
        <v>611.05658699999981</v>
      </c>
      <c r="N52" s="181">
        <f t="shared" si="13"/>
        <v>540.41420699999992</v>
      </c>
      <c r="O52" s="181">
        <f t="shared" si="13"/>
        <v>490.96454099999994</v>
      </c>
      <c r="P52" s="210">
        <f t="shared" si="13"/>
        <v>434.45063699999992</v>
      </c>
    </row>
    <row r="53" spans="1:16" s="26" customFormat="1" ht="15" customHeight="1">
      <c r="A53" s="183">
        <v>125</v>
      </c>
      <c r="B53" s="184" t="s">
        <v>109</v>
      </c>
      <c r="C53" s="187">
        <v>1</v>
      </c>
      <c r="D53" s="176">
        <v>15.75</v>
      </c>
      <c r="E53" s="209">
        <v>155.32</v>
      </c>
      <c r="F53" s="221">
        <v>155.32</v>
      </c>
      <c r="G53" s="217" t="s">
        <v>37</v>
      </c>
      <c r="H53" s="209">
        <f t="shared" si="8"/>
        <v>10.872400000000001</v>
      </c>
      <c r="I53" s="209">
        <f t="shared" si="9"/>
        <v>3.1063999999999998</v>
      </c>
      <c r="J53" s="209">
        <f t="shared" si="10"/>
        <v>1.5531999999999999</v>
      </c>
      <c r="K53" s="218">
        <f t="shared" si="11"/>
        <v>23.919280000000004</v>
      </c>
      <c r="L53" s="219">
        <f t="shared" si="12"/>
        <v>194.77128000000002</v>
      </c>
      <c r="M53" s="181">
        <f t="shared" si="13"/>
        <v>153.16105199999998</v>
      </c>
      <c r="N53" s="181">
        <f t="shared" si="13"/>
        <v>135.45457199999998</v>
      </c>
      <c r="O53" s="181">
        <f t="shared" si="13"/>
        <v>123.060036</v>
      </c>
      <c r="P53" s="210">
        <f t="shared" si="13"/>
        <v>108.89485199999999</v>
      </c>
    </row>
    <row r="54" spans="1:16" s="26" customFormat="1" ht="15" customHeight="1">
      <c r="A54" s="183">
        <v>104</v>
      </c>
      <c r="B54" s="184" t="s">
        <v>84</v>
      </c>
      <c r="C54" s="187">
        <v>1</v>
      </c>
      <c r="D54" s="176">
        <v>20.5</v>
      </c>
      <c r="E54" s="209">
        <v>201.35</v>
      </c>
      <c r="F54" s="221">
        <v>201.35</v>
      </c>
      <c r="G54" s="217" t="s">
        <v>37</v>
      </c>
      <c r="H54" s="209">
        <f t="shared" si="8"/>
        <v>14.094500000000002</v>
      </c>
      <c r="I54" s="209">
        <f t="shared" si="9"/>
        <v>4.0270000000000001</v>
      </c>
      <c r="J54" s="209">
        <f t="shared" si="10"/>
        <v>2.0135000000000001</v>
      </c>
      <c r="K54" s="218">
        <f t="shared" si="11"/>
        <v>31.007899999999999</v>
      </c>
      <c r="L54" s="219">
        <f t="shared" si="12"/>
        <v>252.49289999999999</v>
      </c>
      <c r="M54" s="181">
        <f t="shared" si="13"/>
        <v>198.55123499999996</v>
      </c>
      <c r="N54" s="181">
        <f t="shared" si="13"/>
        <v>175.59733499999999</v>
      </c>
      <c r="O54" s="181">
        <f t="shared" si="13"/>
        <v>159.52960499999998</v>
      </c>
      <c r="P54" s="210">
        <f t="shared" si="13"/>
        <v>141.16648499999997</v>
      </c>
    </row>
    <row r="55" spans="1:16" s="26" customFormat="1" ht="15" customHeight="1">
      <c r="A55" s="183">
        <v>50</v>
      </c>
      <c r="B55" s="184" t="s">
        <v>79</v>
      </c>
      <c r="C55" s="187">
        <v>1</v>
      </c>
      <c r="D55" s="176">
        <v>30.95</v>
      </c>
      <c r="E55" s="209">
        <v>337.98</v>
      </c>
      <c r="F55" s="221">
        <v>337.98</v>
      </c>
      <c r="G55" s="217" t="s">
        <v>37</v>
      </c>
      <c r="H55" s="209">
        <f t="shared" si="8"/>
        <v>23.658600000000003</v>
      </c>
      <c r="I55" s="209">
        <f t="shared" si="9"/>
        <v>6.7596000000000007</v>
      </c>
      <c r="J55" s="209">
        <f t="shared" si="10"/>
        <v>3.3798000000000004</v>
      </c>
      <c r="K55" s="218">
        <f t="shared" si="11"/>
        <v>52.048920000000003</v>
      </c>
      <c r="L55" s="219">
        <f t="shared" si="12"/>
        <v>423.82691999999997</v>
      </c>
      <c r="M55" s="181">
        <f t="shared" si="13"/>
        <v>333.28207799999996</v>
      </c>
      <c r="N55" s="181">
        <f t="shared" si="13"/>
        <v>294.75235800000002</v>
      </c>
      <c r="O55" s="181">
        <f t="shared" si="13"/>
        <v>267.78155399999997</v>
      </c>
      <c r="P55" s="210">
        <f t="shared" si="13"/>
        <v>236.95777799999996</v>
      </c>
    </row>
    <row r="56" spans="1:16" s="26" customFormat="1" ht="15" customHeight="1">
      <c r="A56" s="183">
        <v>6</v>
      </c>
      <c r="B56" s="184" t="s">
        <v>248</v>
      </c>
      <c r="C56" s="175">
        <v>1</v>
      </c>
      <c r="D56" s="176">
        <v>24.95</v>
      </c>
      <c r="E56" s="209">
        <v>260.39999999999998</v>
      </c>
      <c r="F56" s="221">
        <v>260.39999999999998</v>
      </c>
      <c r="G56" s="217" t="s">
        <v>37</v>
      </c>
      <c r="H56" s="209">
        <f t="shared" si="8"/>
        <v>18.228000000000002</v>
      </c>
      <c r="I56" s="209">
        <f t="shared" si="9"/>
        <v>5.2079999999999993</v>
      </c>
      <c r="J56" s="209">
        <f t="shared" si="10"/>
        <v>2.6039999999999996</v>
      </c>
      <c r="K56" s="218">
        <f t="shared" si="11"/>
        <v>40.101600000000005</v>
      </c>
      <c r="L56" s="219">
        <f t="shared" si="12"/>
        <v>326.54160000000002</v>
      </c>
      <c r="M56" s="181">
        <f t="shared" si="13"/>
        <v>256.78044</v>
      </c>
      <c r="N56" s="181">
        <f t="shared" si="13"/>
        <v>227.09484</v>
      </c>
      <c r="O56" s="181">
        <f t="shared" si="13"/>
        <v>206.31492</v>
      </c>
      <c r="P56" s="210">
        <f t="shared" si="13"/>
        <v>182.56644</v>
      </c>
    </row>
    <row r="57" spans="1:16" s="26" customFormat="1" ht="15" customHeight="1">
      <c r="A57" s="183">
        <v>1065</v>
      </c>
      <c r="B57" s="222" t="s">
        <v>243</v>
      </c>
      <c r="C57" s="187">
        <v>1</v>
      </c>
      <c r="D57" s="176">
        <v>24.95</v>
      </c>
      <c r="E57" s="209">
        <v>260.39999999999998</v>
      </c>
      <c r="F57" s="221">
        <v>260.39999999999998</v>
      </c>
      <c r="G57" s="217" t="s">
        <v>37</v>
      </c>
      <c r="H57" s="209">
        <f t="shared" si="8"/>
        <v>18.228000000000002</v>
      </c>
      <c r="I57" s="209">
        <f t="shared" si="9"/>
        <v>5.2079999999999993</v>
      </c>
      <c r="J57" s="209">
        <f t="shared" si="10"/>
        <v>2.6039999999999996</v>
      </c>
      <c r="K57" s="218">
        <f t="shared" si="11"/>
        <v>40.101600000000005</v>
      </c>
      <c r="L57" s="219">
        <f t="shared" si="12"/>
        <v>326.54160000000002</v>
      </c>
      <c r="M57" s="181">
        <f t="shared" si="13"/>
        <v>256.78044</v>
      </c>
      <c r="N57" s="181">
        <f t="shared" si="13"/>
        <v>227.09484</v>
      </c>
      <c r="O57" s="181">
        <f t="shared" si="13"/>
        <v>206.31492</v>
      </c>
      <c r="P57" s="210">
        <f t="shared" si="13"/>
        <v>182.56644</v>
      </c>
    </row>
    <row r="58" spans="1:16" s="26" customFormat="1" ht="15" customHeight="1">
      <c r="A58" s="198">
        <v>3151</v>
      </c>
      <c r="B58" s="184" t="s">
        <v>269</v>
      </c>
      <c r="C58" s="187">
        <v>1</v>
      </c>
      <c r="D58" s="176">
        <v>15.95</v>
      </c>
      <c r="E58" s="209">
        <v>215.72</v>
      </c>
      <c r="F58" s="221">
        <v>215.72</v>
      </c>
      <c r="G58" s="217" t="s">
        <v>37</v>
      </c>
      <c r="H58" s="209">
        <f t="shared" si="8"/>
        <v>15.1004</v>
      </c>
      <c r="I58" s="209">
        <f t="shared" si="9"/>
        <v>4.3144</v>
      </c>
      <c r="J58" s="209">
        <f t="shared" si="10"/>
        <v>2.1572</v>
      </c>
      <c r="K58" s="218">
        <f t="shared" si="11"/>
        <v>33.220880000000001</v>
      </c>
      <c r="L58" s="219">
        <f t="shared" si="12"/>
        <v>270.51288</v>
      </c>
      <c r="M58" s="181">
        <f t="shared" si="13"/>
        <v>212.72149199999996</v>
      </c>
      <c r="N58" s="181">
        <f t="shared" si="13"/>
        <v>188.129412</v>
      </c>
      <c r="O58" s="181">
        <f t="shared" si="13"/>
        <v>170.91495599999996</v>
      </c>
      <c r="P58" s="210">
        <f t="shared" si="13"/>
        <v>151.24129199999996</v>
      </c>
    </row>
    <row r="59" spans="1:16" s="26" customFormat="1" ht="15" customHeight="1">
      <c r="A59" s="198">
        <v>3152</v>
      </c>
      <c r="B59" s="184" t="s">
        <v>270</v>
      </c>
      <c r="C59" s="187">
        <v>1</v>
      </c>
      <c r="D59" s="176">
        <v>15.95</v>
      </c>
      <c r="E59" s="209">
        <v>215.72</v>
      </c>
      <c r="F59" s="221">
        <v>215.72</v>
      </c>
      <c r="G59" s="217" t="s">
        <v>37</v>
      </c>
      <c r="H59" s="209">
        <f t="shared" si="8"/>
        <v>15.1004</v>
      </c>
      <c r="I59" s="209">
        <f t="shared" si="9"/>
        <v>4.3144</v>
      </c>
      <c r="J59" s="209">
        <f t="shared" si="10"/>
        <v>2.1572</v>
      </c>
      <c r="K59" s="218">
        <f t="shared" si="11"/>
        <v>33.220880000000001</v>
      </c>
      <c r="L59" s="219">
        <f t="shared" si="12"/>
        <v>270.51288</v>
      </c>
      <c r="M59" s="181">
        <f t="shared" si="13"/>
        <v>212.72149199999996</v>
      </c>
      <c r="N59" s="181">
        <f t="shared" si="13"/>
        <v>188.129412</v>
      </c>
      <c r="O59" s="181">
        <f t="shared" si="13"/>
        <v>170.91495599999996</v>
      </c>
      <c r="P59" s="210">
        <f t="shared" si="13"/>
        <v>151.24129199999996</v>
      </c>
    </row>
    <row r="60" spans="1:16" s="26" customFormat="1" ht="15" customHeight="1" thickBot="1">
      <c r="A60" s="232">
        <v>106</v>
      </c>
      <c r="B60" s="233" t="s">
        <v>193</v>
      </c>
      <c r="C60" s="234">
        <v>1</v>
      </c>
      <c r="D60" s="235">
        <v>34.950000000000003</v>
      </c>
      <c r="E60" s="236">
        <v>311.57</v>
      </c>
      <c r="F60" s="237">
        <v>311.57</v>
      </c>
      <c r="G60" s="238" t="s">
        <v>37</v>
      </c>
      <c r="H60" s="236">
        <f t="shared" si="8"/>
        <v>21.809900000000003</v>
      </c>
      <c r="I60" s="236">
        <f t="shared" si="9"/>
        <v>6.2313999999999998</v>
      </c>
      <c r="J60" s="236">
        <f t="shared" si="10"/>
        <v>3.1156999999999999</v>
      </c>
      <c r="K60" s="239">
        <f t="shared" si="11"/>
        <v>47.981780000000008</v>
      </c>
      <c r="L60" s="240">
        <f t="shared" si="12"/>
        <v>390.70878000000005</v>
      </c>
      <c r="M60" s="241">
        <f t="shared" si="13"/>
        <v>307.23917699999998</v>
      </c>
      <c r="N60" s="241">
        <f t="shared" si="13"/>
        <v>271.72019699999998</v>
      </c>
      <c r="O60" s="241">
        <f t="shared" si="13"/>
        <v>246.856911</v>
      </c>
      <c r="P60" s="242">
        <f t="shared" si="13"/>
        <v>218.44172699999999</v>
      </c>
    </row>
    <row r="61" spans="1:16" s="26" customFormat="1" ht="15" customHeight="1">
      <c r="A61" s="173">
        <v>105</v>
      </c>
      <c r="B61" s="174" t="s">
        <v>194</v>
      </c>
      <c r="C61" s="223">
        <v>1</v>
      </c>
      <c r="D61" s="224">
        <v>19.95</v>
      </c>
      <c r="E61" s="225">
        <v>177.03</v>
      </c>
      <c r="F61" s="226">
        <v>177.03</v>
      </c>
      <c r="G61" s="227" t="s">
        <v>37</v>
      </c>
      <c r="H61" s="225">
        <f t="shared" si="8"/>
        <v>12.392100000000001</v>
      </c>
      <c r="I61" s="225">
        <f t="shared" si="9"/>
        <v>3.5406</v>
      </c>
      <c r="J61" s="225">
        <f t="shared" si="10"/>
        <v>1.7703</v>
      </c>
      <c r="K61" s="228">
        <f t="shared" si="11"/>
        <v>27.262620000000002</v>
      </c>
      <c r="L61" s="229">
        <f t="shared" si="12"/>
        <v>221.99562</v>
      </c>
      <c r="M61" s="230">
        <f t="shared" si="13"/>
        <v>174.56928300000001</v>
      </c>
      <c r="N61" s="230">
        <f t="shared" si="13"/>
        <v>154.38786300000001</v>
      </c>
      <c r="O61" s="230">
        <f t="shared" si="13"/>
        <v>140.26086900000001</v>
      </c>
      <c r="P61" s="231">
        <f t="shared" si="13"/>
        <v>124.11573299999999</v>
      </c>
    </row>
    <row r="62" spans="1:16" s="26" customFormat="1" ht="15" customHeight="1">
      <c r="A62" s="183">
        <v>255</v>
      </c>
      <c r="B62" s="184" t="s">
        <v>195</v>
      </c>
      <c r="C62" s="175">
        <v>1</v>
      </c>
      <c r="D62" s="176">
        <v>19.95</v>
      </c>
      <c r="E62" s="209">
        <v>177.03</v>
      </c>
      <c r="F62" s="221">
        <v>177.03</v>
      </c>
      <c r="G62" s="217" t="s">
        <v>37</v>
      </c>
      <c r="H62" s="209">
        <f t="shared" si="8"/>
        <v>12.392100000000001</v>
      </c>
      <c r="I62" s="209">
        <f t="shared" si="9"/>
        <v>3.5406</v>
      </c>
      <c r="J62" s="209">
        <f t="shared" si="10"/>
        <v>1.7703</v>
      </c>
      <c r="K62" s="218">
        <f t="shared" si="11"/>
        <v>27.262620000000002</v>
      </c>
      <c r="L62" s="219">
        <f t="shared" si="12"/>
        <v>221.99562</v>
      </c>
      <c r="M62" s="181">
        <f t="shared" si="13"/>
        <v>174.56928300000001</v>
      </c>
      <c r="N62" s="181">
        <f t="shared" si="13"/>
        <v>154.38786300000001</v>
      </c>
      <c r="O62" s="181">
        <f t="shared" si="13"/>
        <v>140.26086900000001</v>
      </c>
      <c r="P62" s="210">
        <f t="shared" si="13"/>
        <v>124.11573299999999</v>
      </c>
    </row>
    <row r="63" spans="1:16" s="26" customFormat="1" ht="15" customHeight="1">
      <c r="A63" s="183">
        <v>256</v>
      </c>
      <c r="B63" s="184" t="s">
        <v>196</v>
      </c>
      <c r="C63" s="175">
        <v>1</v>
      </c>
      <c r="D63" s="176">
        <v>19.95</v>
      </c>
      <c r="E63" s="209">
        <v>177.03</v>
      </c>
      <c r="F63" s="221">
        <v>177.03</v>
      </c>
      <c r="G63" s="217" t="s">
        <v>37</v>
      </c>
      <c r="H63" s="209">
        <f t="shared" si="8"/>
        <v>12.392100000000001</v>
      </c>
      <c r="I63" s="209">
        <f t="shared" si="9"/>
        <v>3.5406</v>
      </c>
      <c r="J63" s="209">
        <f t="shared" si="10"/>
        <v>1.7703</v>
      </c>
      <c r="K63" s="218">
        <f t="shared" si="11"/>
        <v>27.262620000000002</v>
      </c>
      <c r="L63" s="219">
        <f t="shared" si="12"/>
        <v>221.99562</v>
      </c>
      <c r="M63" s="181">
        <f t="shared" si="13"/>
        <v>174.56928300000001</v>
      </c>
      <c r="N63" s="181">
        <f t="shared" si="13"/>
        <v>154.38786300000001</v>
      </c>
      <c r="O63" s="181">
        <f t="shared" si="13"/>
        <v>140.26086900000001</v>
      </c>
      <c r="P63" s="210">
        <f t="shared" si="13"/>
        <v>124.11573299999999</v>
      </c>
    </row>
    <row r="64" spans="1:16" s="26" customFormat="1" ht="15" customHeight="1">
      <c r="A64" s="195">
        <v>257</v>
      </c>
      <c r="B64" s="196" t="s">
        <v>197</v>
      </c>
      <c r="C64" s="421">
        <v>1</v>
      </c>
      <c r="D64" s="191">
        <v>19.95</v>
      </c>
      <c r="E64" s="247">
        <v>177.03</v>
      </c>
      <c r="F64" s="248">
        <v>177.03</v>
      </c>
      <c r="G64" s="249" t="s">
        <v>37</v>
      </c>
      <c r="H64" s="247">
        <f t="shared" si="8"/>
        <v>12.392100000000001</v>
      </c>
      <c r="I64" s="247">
        <f t="shared" si="9"/>
        <v>3.5406</v>
      </c>
      <c r="J64" s="247">
        <f t="shared" si="10"/>
        <v>1.7703</v>
      </c>
      <c r="K64" s="343">
        <f t="shared" si="11"/>
        <v>27.262620000000002</v>
      </c>
      <c r="L64" s="413">
        <f t="shared" si="12"/>
        <v>221.99562</v>
      </c>
      <c r="M64" s="399">
        <f t="shared" si="13"/>
        <v>174.56928300000001</v>
      </c>
      <c r="N64" s="399">
        <f t="shared" si="13"/>
        <v>154.38786300000001</v>
      </c>
      <c r="O64" s="399">
        <f t="shared" si="13"/>
        <v>140.26086900000001</v>
      </c>
      <c r="P64" s="279">
        <f t="shared" si="13"/>
        <v>124.11573299999999</v>
      </c>
    </row>
    <row r="65" spans="1:16" s="32" customFormat="1" ht="15" customHeight="1">
      <c r="A65" s="352" t="s">
        <v>96</v>
      </c>
      <c r="B65" s="351"/>
      <c r="C65" s="200"/>
      <c r="D65" s="201"/>
      <c r="E65" s="267"/>
      <c r="F65" s="267"/>
      <c r="G65" s="431"/>
      <c r="H65" s="267"/>
      <c r="I65" s="267"/>
      <c r="J65" s="213"/>
      <c r="K65" s="267"/>
      <c r="L65" s="213"/>
      <c r="M65" s="432"/>
      <c r="N65" s="432"/>
      <c r="O65" s="432"/>
      <c r="P65" s="433"/>
    </row>
    <row r="66" spans="1:16" s="26" customFormat="1" ht="15" customHeight="1">
      <c r="A66" s="183">
        <v>258</v>
      </c>
      <c r="B66" s="184" t="s">
        <v>97</v>
      </c>
      <c r="C66" s="175">
        <v>1</v>
      </c>
      <c r="D66" s="176">
        <v>7.7</v>
      </c>
      <c r="E66" s="209">
        <v>83.43</v>
      </c>
      <c r="F66" s="221">
        <v>157.43</v>
      </c>
      <c r="G66" s="217" t="s">
        <v>93</v>
      </c>
      <c r="H66" s="209">
        <f>IF($G66="P",$F66*$H$19,IF($G66="A",$H$19*$F66,IF($G66="L",0%*$F66)))</f>
        <v>11.020100000000001</v>
      </c>
      <c r="I66" s="209">
        <f>$F66*$I$19</f>
        <v>3.1486000000000001</v>
      </c>
      <c r="J66" s="209">
        <f>F66*$J$19</f>
        <v>1.5743</v>
      </c>
      <c r="K66" s="218">
        <f>(F66+H66+I66+J66)*$K$19</f>
        <v>24.244220000000002</v>
      </c>
      <c r="L66" s="219">
        <f t="shared" si="12"/>
        <v>197.41722000000001</v>
      </c>
      <c r="M66" s="181">
        <f t="shared" ref="M66:P68" si="14">(($F66-($E66*M$19)+$H66+3.5%*$F66+$J66))*1.14</f>
        <v>176.33172299999998</v>
      </c>
      <c r="N66" s="181">
        <f t="shared" si="14"/>
        <v>166.82070300000001</v>
      </c>
      <c r="O66" s="181">
        <f t="shared" si="14"/>
        <v>160.16298900000001</v>
      </c>
      <c r="P66" s="210">
        <f t="shared" si="14"/>
        <v>152.55417299999996</v>
      </c>
    </row>
    <row r="67" spans="1:16" s="26" customFormat="1" ht="15" customHeight="1">
      <c r="A67" s="183">
        <v>259</v>
      </c>
      <c r="B67" s="184" t="s">
        <v>98</v>
      </c>
      <c r="C67" s="175">
        <v>1</v>
      </c>
      <c r="D67" s="176">
        <v>7.7</v>
      </c>
      <c r="E67" s="209">
        <v>83.43</v>
      </c>
      <c r="F67" s="221">
        <v>157.43</v>
      </c>
      <c r="G67" s="217" t="s">
        <v>93</v>
      </c>
      <c r="H67" s="209">
        <f>IF($G67="P",$F67*$H$19,IF($G67="A",$H$19*$F67,IF($G67="L",0%*$F67)))</f>
        <v>11.020100000000001</v>
      </c>
      <c r="I67" s="209">
        <f>$F67*$I$19</f>
        <v>3.1486000000000001</v>
      </c>
      <c r="J67" s="209">
        <f>F67*$J$19</f>
        <v>1.5743</v>
      </c>
      <c r="K67" s="218">
        <f>(F67+H67+I67+J67)*$K$19</f>
        <v>24.244220000000002</v>
      </c>
      <c r="L67" s="219">
        <f t="shared" si="12"/>
        <v>197.41722000000001</v>
      </c>
      <c r="M67" s="181">
        <f t="shared" si="14"/>
        <v>176.33172299999998</v>
      </c>
      <c r="N67" s="181">
        <f t="shared" si="14"/>
        <v>166.82070300000001</v>
      </c>
      <c r="O67" s="181">
        <f t="shared" si="14"/>
        <v>160.16298900000001</v>
      </c>
      <c r="P67" s="210">
        <f t="shared" si="14"/>
        <v>152.55417299999996</v>
      </c>
    </row>
    <row r="68" spans="1:16" s="26" customFormat="1" ht="15" customHeight="1">
      <c r="A68" s="183">
        <v>260</v>
      </c>
      <c r="B68" s="184" t="s">
        <v>99</v>
      </c>
      <c r="C68" s="175">
        <v>1</v>
      </c>
      <c r="D68" s="176">
        <v>7.7</v>
      </c>
      <c r="E68" s="209">
        <v>83.43</v>
      </c>
      <c r="F68" s="221">
        <v>157.43</v>
      </c>
      <c r="G68" s="217" t="s">
        <v>93</v>
      </c>
      <c r="H68" s="209">
        <f>IF($G68="P",$F68*$H$19,IF($G68="A",$H$19*$F68,IF($G68="L",0%*$F68)))</f>
        <v>11.020100000000001</v>
      </c>
      <c r="I68" s="209">
        <f>$F68*$I$19</f>
        <v>3.1486000000000001</v>
      </c>
      <c r="J68" s="209">
        <f>F68*$J$19</f>
        <v>1.5743</v>
      </c>
      <c r="K68" s="218">
        <f>(F68+H68+I68+J68)*$K$19</f>
        <v>24.244220000000002</v>
      </c>
      <c r="L68" s="219">
        <f t="shared" si="12"/>
        <v>197.41722000000001</v>
      </c>
      <c r="M68" s="181">
        <f t="shared" si="14"/>
        <v>176.33172299999998</v>
      </c>
      <c r="N68" s="181">
        <f t="shared" si="14"/>
        <v>166.82070300000001</v>
      </c>
      <c r="O68" s="181">
        <f t="shared" si="14"/>
        <v>160.16298900000001</v>
      </c>
      <c r="P68" s="210">
        <f t="shared" si="14"/>
        <v>152.55417299999996</v>
      </c>
    </row>
    <row r="69" spans="1:16" s="26" customFormat="1" ht="15" customHeight="1">
      <c r="A69" s="188">
        <v>155</v>
      </c>
      <c r="B69" s="189" t="s">
        <v>198</v>
      </c>
      <c r="C69" s="190">
        <v>1</v>
      </c>
      <c r="D69" s="191">
        <v>23</v>
      </c>
      <c r="E69" s="247">
        <v>248.34</v>
      </c>
      <c r="F69" s="248">
        <v>248.34</v>
      </c>
      <c r="G69" s="249" t="s">
        <v>37</v>
      </c>
      <c r="H69" s="247">
        <f>IF($G69="P",$F69*$H$19,IF($G69="A",$H$19*$F69,IF($G69="L",0%*$F69)))</f>
        <v>17.383800000000001</v>
      </c>
      <c r="I69" s="247">
        <f>$F69*$I$19</f>
        <v>4.9668000000000001</v>
      </c>
      <c r="J69" s="209">
        <f>F69*$J$19</f>
        <v>2.4834000000000001</v>
      </c>
      <c r="K69" s="218">
        <f>(F69+H69+I69+J69)*$K$19</f>
        <v>38.24436</v>
      </c>
      <c r="L69" s="219">
        <f t="shared" si="12"/>
        <v>311.41836000000001</v>
      </c>
      <c r="M69" s="181">
        <f>(($F69-($F69*M$19)+$H69+3.5%*$F69+$J69))*1.14</f>
        <v>244.88807399999999</v>
      </c>
      <c r="N69" s="181">
        <f>(($F69-($F69*N$19)+$H69+3.5%*$F69+$J69))*1.14</f>
        <v>216.57731399999997</v>
      </c>
      <c r="O69" s="181">
        <f>(($F69-($F69*O$19)+$H69+3.5%*$F69+$J69))*1.14</f>
        <v>196.759782</v>
      </c>
      <c r="P69" s="210">
        <f>(($F69-($F69*P$19)+$H69+3.5%*$F69+$J69))*1.14</f>
        <v>174.11117399999998</v>
      </c>
    </row>
    <row r="70" spans="1:16" s="33" customFormat="1" ht="15" customHeight="1">
      <c r="A70" s="352" t="s">
        <v>100</v>
      </c>
      <c r="B70" s="353"/>
      <c r="C70" s="211"/>
      <c r="D70" s="250"/>
      <c r="E70" s="212"/>
      <c r="F70" s="212"/>
      <c r="G70" s="212"/>
      <c r="H70" s="212"/>
      <c r="I70" s="212"/>
      <c r="J70" s="213"/>
      <c r="K70" s="212"/>
      <c r="L70" s="213"/>
      <c r="M70" s="214"/>
      <c r="N70" s="214"/>
      <c r="O70" s="214"/>
      <c r="P70" s="210"/>
    </row>
    <row r="71" spans="1:16" s="32" customFormat="1" ht="15" customHeight="1">
      <c r="A71" s="251">
        <v>3150</v>
      </c>
      <c r="B71" s="197" t="s">
        <v>124</v>
      </c>
      <c r="C71" s="187">
        <v>1</v>
      </c>
      <c r="D71" s="252">
        <v>48.75</v>
      </c>
      <c r="E71" s="209">
        <v>391.18</v>
      </c>
      <c r="F71" s="221">
        <v>391.18</v>
      </c>
      <c r="G71" s="253" t="s">
        <v>93</v>
      </c>
      <c r="H71" s="209">
        <f t="shared" ref="H71:H78" si="15">IF($G71="P",$F71*$H$19,IF($G71="A",$H$19*$F71,IF($G71="L",0%*$F71)))</f>
        <v>27.382600000000004</v>
      </c>
      <c r="I71" s="209">
        <f t="shared" ref="I71:I78" si="16">$F71*$I$19</f>
        <v>7.8235999999999999</v>
      </c>
      <c r="J71" s="209">
        <f t="shared" ref="J71:J78" si="17">F71*$J$19</f>
        <v>3.9117999999999999</v>
      </c>
      <c r="K71" s="218">
        <f t="shared" ref="K71:K78" si="18">(F71+H71+I71+J71)*$K$19</f>
        <v>60.241720000000015</v>
      </c>
      <c r="L71" s="219">
        <f t="shared" si="12"/>
        <v>490.5397200000001</v>
      </c>
      <c r="M71" s="181">
        <f t="shared" ref="M71:P77" si="19">(($F71-($F71*M$19)+$H71+3.5%*$F71+$J71))*1.14</f>
        <v>385.74259800000004</v>
      </c>
      <c r="N71" s="181">
        <f t="shared" si="19"/>
        <v>341.14807800000005</v>
      </c>
      <c r="O71" s="181">
        <f t="shared" si="19"/>
        <v>309.93191400000001</v>
      </c>
      <c r="P71" s="210">
        <f t="shared" si="19"/>
        <v>274.25629800000002</v>
      </c>
    </row>
    <row r="72" spans="1:16" s="32" customFormat="1" ht="15" customHeight="1">
      <c r="A72" s="183">
        <v>3</v>
      </c>
      <c r="B72" s="184" t="s">
        <v>44</v>
      </c>
      <c r="C72" s="187">
        <v>1</v>
      </c>
      <c r="D72" s="176">
        <v>12.5</v>
      </c>
      <c r="E72" s="209">
        <v>149.18</v>
      </c>
      <c r="F72" s="221">
        <v>149.18</v>
      </c>
      <c r="G72" s="217" t="s">
        <v>37</v>
      </c>
      <c r="H72" s="209">
        <f t="shared" si="15"/>
        <v>10.442600000000002</v>
      </c>
      <c r="I72" s="209">
        <f t="shared" si="16"/>
        <v>2.9836</v>
      </c>
      <c r="J72" s="209">
        <f t="shared" si="17"/>
        <v>1.4918</v>
      </c>
      <c r="K72" s="218">
        <f t="shared" si="18"/>
        <v>22.973720000000004</v>
      </c>
      <c r="L72" s="219">
        <f t="shared" si="12"/>
        <v>187.07172000000003</v>
      </c>
      <c r="M72" s="181">
        <f t="shared" si="19"/>
        <v>147.10639800000001</v>
      </c>
      <c r="N72" s="181">
        <f t="shared" si="19"/>
        <v>130.09987799999999</v>
      </c>
      <c r="O72" s="181">
        <f t="shared" si="19"/>
        <v>118.195314</v>
      </c>
      <c r="P72" s="210">
        <f t="shared" si="19"/>
        <v>104.59009799999998</v>
      </c>
    </row>
    <row r="73" spans="1:16" s="34" customFormat="1" ht="15" customHeight="1">
      <c r="A73" s="183">
        <v>65</v>
      </c>
      <c r="B73" s="184" t="s">
        <v>63</v>
      </c>
      <c r="C73" s="187">
        <v>1</v>
      </c>
      <c r="D73" s="254">
        <v>25.75</v>
      </c>
      <c r="E73" s="209">
        <v>279.52999999999997</v>
      </c>
      <c r="F73" s="221">
        <v>279.52999999999997</v>
      </c>
      <c r="G73" s="217" t="s">
        <v>37</v>
      </c>
      <c r="H73" s="209">
        <f t="shared" si="15"/>
        <v>19.5671</v>
      </c>
      <c r="I73" s="209">
        <f t="shared" si="16"/>
        <v>5.5905999999999993</v>
      </c>
      <c r="J73" s="209">
        <f t="shared" si="17"/>
        <v>2.7952999999999997</v>
      </c>
      <c r="K73" s="218">
        <f t="shared" si="18"/>
        <v>43.047619999999995</v>
      </c>
      <c r="L73" s="219">
        <f t="shared" si="12"/>
        <v>350.53061999999994</v>
      </c>
      <c r="M73" s="181">
        <f t="shared" si="19"/>
        <v>275.64453299999997</v>
      </c>
      <c r="N73" s="181">
        <f t="shared" si="19"/>
        <v>243.77811299999999</v>
      </c>
      <c r="O73" s="181">
        <f t="shared" si="19"/>
        <v>221.47161899999998</v>
      </c>
      <c r="P73" s="210">
        <f t="shared" si="19"/>
        <v>195.97848299999995</v>
      </c>
    </row>
    <row r="74" spans="1:16" s="34" customFormat="1" ht="15" customHeight="1">
      <c r="A74" s="183">
        <v>102</v>
      </c>
      <c r="B74" s="184" t="s">
        <v>55</v>
      </c>
      <c r="C74" s="175">
        <v>1</v>
      </c>
      <c r="D74" s="176">
        <v>14.75</v>
      </c>
      <c r="E74" s="209">
        <v>138.19999999999999</v>
      </c>
      <c r="F74" s="221">
        <v>138.19999999999999</v>
      </c>
      <c r="G74" s="217" t="s">
        <v>37</v>
      </c>
      <c r="H74" s="209">
        <f t="shared" si="15"/>
        <v>9.6739999999999995</v>
      </c>
      <c r="I74" s="209">
        <f t="shared" si="16"/>
        <v>2.7639999999999998</v>
      </c>
      <c r="J74" s="209">
        <f t="shared" si="17"/>
        <v>1.3819999999999999</v>
      </c>
      <c r="K74" s="218">
        <f t="shared" si="18"/>
        <v>21.282800000000002</v>
      </c>
      <c r="L74" s="219">
        <f t="shared" si="12"/>
        <v>173.30280000000002</v>
      </c>
      <c r="M74" s="181">
        <f t="shared" si="19"/>
        <v>136.27901999999997</v>
      </c>
      <c r="N74" s="181">
        <f t="shared" si="19"/>
        <v>120.52421999999999</v>
      </c>
      <c r="O74" s="181">
        <f t="shared" si="19"/>
        <v>109.49586000000001</v>
      </c>
      <c r="P74" s="210">
        <f t="shared" si="19"/>
        <v>96.892020000000002</v>
      </c>
    </row>
    <row r="75" spans="1:16" s="34" customFormat="1" ht="15" customHeight="1">
      <c r="A75" s="183">
        <v>130</v>
      </c>
      <c r="B75" s="184" t="s">
        <v>21</v>
      </c>
      <c r="C75" s="175">
        <v>1</v>
      </c>
      <c r="D75" s="176">
        <v>15.4</v>
      </c>
      <c r="E75" s="209">
        <v>153.36000000000001</v>
      </c>
      <c r="F75" s="221">
        <v>153.36000000000001</v>
      </c>
      <c r="G75" s="217" t="s">
        <v>37</v>
      </c>
      <c r="H75" s="209">
        <f t="shared" si="15"/>
        <v>10.735200000000003</v>
      </c>
      <c r="I75" s="209">
        <f t="shared" si="16"/>
        <v>3.0672000000000001</v>
      </c>
      <c r="J75" s="209">
        <f t="shared" si="17"/>
        <v>1.5336000000000001</v>
      </c>
      <c r="K75" s="218">
        <f t="shared" si="18"/>
        <v>23.617440000000006</v>
      </c>
      <c r="L75" s="219">
        <f t="shared" si="12"/>
        <v>192.31344000000004</v>
      </c>
      <c r="M75" s="181">
        <f t="shared" si="19"/>
        <v>151.228296</v>
      </c>
      <c r="N75" s="181">
        <f t="shared" si="19"/>
        <v>133.74525600000001</v>
      </c>
      <c r="O75" s="181">
        <f t="shared" si="19"/>
        <v>121.50712800000001</v>
      </c>
      <c r="P75" s="210">
        <f t="shared" si="19"/>
        <v>107.52069600000002</v>
      </c>
    </row>
    <row r="76" spans="1:16" s="34" customFormat="1" ht="15" customHeight="1">
      <c r="A76" s="183">
        <v>139</v>
      </c>
      <c r="B76" s="184" t="s">
        <v>205</v>
      </c>
      <c r="C76" s="175">
        <v>1</v>
      </c>
      <c r="D76" s="176">
        <v>23.75</v>
      </c>
      <c r="E76" s="209">
        <v>205.14</v>
      </c>
      <c r="F76" s="221">
        <v>205.14</v>
      </c>
      <c r="G76" s="217" t="s">
        <v>37</v>
      </c>
      <c r="H76" s="209">
        <f t="shared" si="15"/>
        <v>14.3598</v>
      </c>
      <c r="I76" s="209">
        <f t="shared" si="16"/>
        <v>4.1028000000000002</v>
      </c>
      <c r="J76" s="209">
        <f t="shared" si="17"/>
        <v>2.0514000000000001</v>
      </c>
      <c r="K76" s="218">
        <f t="shared" si="18"/>
        <v>31.591560000000001</v>
      </c>
      <c r="L76" s="219">
        <f t="shared" si="12"/>
        <v>257.24556000000001</v>
      </c>
      <c r="M76" s="181">
        <f t="shared" si="19"/>
        <v>202.28855399999998</v>
      </c>
      <c r="N76" s="181">
        <f t="shared" si="19"/>
        <v>178.90259399999999</v>
      </c>
      <c r="O76" s="181">
        <f t="shared" si="19"/>
        <v>162.532422</v>
      </c>
      <c r="P76" s="210">
        <f t="shared" si="19"/>
        <v>143.823654</v>
      </c>
    </row>
    <row r="77" spans="1:16" s="34" customFormat="1" ht="15" customHeight="1">
      <c r="A77" s="183">
        <v>261</v>
      </c>
      <c r="B77" s="184" t="s">
        <v>76</v>
      </c>
      <c r="C77" s="187">
        <v>1</v>
      </c>
      <c r="D77" s="254">
        <v>18.95</v>
      </c>
      <c r="E77" s="209">
        <v>227.24</v>
      </c>
      <c r="F77" s="221">
        <v>227.24</v>
      </c>
      <c r="G77" s="217" t="s">
        <v>37</v>
      </c>
      <c r="H77" s="209">
        <f t="shared" si="15"/>
        <v>15.906800000000002</v>
      </c>
      <c r="I77" s="209">
        <f t="shared" si="16"/>
        <v>4.5448000000000004</v>
      </c>
      <c r="J77" s="209">
        <f t="shared" si="17"/>
        <v>2.2724000000000002</v>
      </c>
      <c r="K77" s="218">
        <f t="shared" si="18"/>
        <v>34.994960000000006</v>
      </c>
      <c r="L77" s="219">
        <f t="shared" si="12"/>
        <v>284.95896000000005</v>
      </c>
      <c r="M77" s="181">
        <f t="shared" si="19"/>
        <v>224.08136399999998</v>
      </c>
      <c r="N77" s="181">
        <f t="shared" si="19"/>
        <v>198.17600400000001</v>
      </c>
      <c r="O77" s="181">
        <f t="shared" si="19"/>
        <v>180.04225199999999</v>
      </c>
      <c r="P77" s="210">
        <f t="shared" si="19"/>
        <v>159.31796399999999</v>
      </c>
    </row>
    <row r="78" spans="1:16" s="34" customFormat="1" ht="15" customHeight="1">
      <c r="A78" s="183">
        <v>2646</v>
      </c>
      <c r="B78" s="197" t="s">
        <v>188</v>
      </c>
      <c r="C78" s="190">
        <v>1</v>
      </c>
      <c r="D78" s="191">
        <v>14.8</v>
      </c>
      <c r="E78" s="247">
        <v>124.64</v>
      </c>
      <c r="F78" s="248">
        <v>146.59</v>
      </c>
      <c r="G78" s="249" t="s">
        <v>37</v>
      </c>
      <c r="H78" s="247">
        <f t="shared" si="15"/>
        <v>10.261300000000002</v>
      </c>
      <c r="I78" s="247">
        <f t="shared" si="16"/>
        <v>2.9318</v>
      </c>
      <c r="J78" s="247">
        <f t="shared" si="17"/>
        <v>1.4659</v>
      </c>
      <c r="K78" s="343">
        <f t="shared" si="18"/>
        <v>22.574860000000005</v>
      </c>
      <c r="L78" s="413">
        <f t="shared" si="12"/>
        <v>183.82386000000002</v>
      </c>
      <c r="M78" s="399">
        <f>(($F78-($E78*M$19)+$H78+3.5%*$F78+$J78))*1.14</f>
        <v>150.80814900000001</v>
      </c>
      <c r="N78" s="399">
        <f>(($F78-($E78*N$19)+$H78+3.5%*$F78+$J78))*1.14</f>
        <v>136.59918900000002</v>
      </c>
      <c r="O78" s="399">
        <f>(($F78-($E78*O$19)+$H78+3.5%*$F78+$J78))*1.14</f>
        <v>126.65291700000002</v>
      </c>
      <c r="P78" s="279">
        <f>(($F78-($E78*P$19)+$H78+3.5%*$F78+$J78))*1.14</f>
        <v>115.28574900000002</v>
      </c>
    </row>
    <row r="79" spans="1:16" s="31" customFormat="1" ht="15" customHeight="1">
      <c r="A79" s="356" t="s">
        <v>271</v>
      </c>
      <c r="B79" s="463"/>
      <c r="C79" s="401"/>
      <c r="D79" s="401"/>
      <c r="E79" s="386"/>
      <c r="F79" s="386"/>
      <c r="G79" s="402"/>
      <c r="H79" s="402"/>
      <c r="I79" s="402"/>
      <c r="J79" s="386"/>
      <c r="K79" s="402"/>
      <c r="L79" s="386"/>
      <c r="M79" s="405"/>
      <c r="N79" s="405"/>
      <c r="O79" s="405"/>
      <c r="P79" s="279"/>
    </row>
    <row r="80" spans="1:16" s="32" customFormat="1" ht="15" customHeight="1">
      <c r="A80" s="357" t="s">
        <v>272</v>
      </c>
      <c r="B80" s="465"/>
      <c r="C80" s="243"/>
      <c r="D80" s="243"/>
      <c r="E80" s="246"/>
      <c r="F80" s="246"/>
      <c r="G80" s="264"/>
      <c r="H80" s="264"/>
      <c r="I80" s="264"/>
      <c r="J80" s="246"/>
      <c r="K80" s="264"/>
      <c r="L80" s="246"/>
      <c r="M80" s="265"/>
      <c r="N80" s="265"/>
      <c r="O80" s="265"/>
      <c r="P80" s="231"/>
    </row>
    <row r="81" spans="1:16" s="32" customFormat="1" ht="15" customHeight="1">
      <c r="A81" s="251">
        <v>901</v>
      </c>
      <c r="B81" s="197" t="s">
        <v>110</v>
      </c>
      <c r="C81" s="260">
        <v>1</v>
      </c>
      <c r="D81" s="261">
        <v>46</v>
      </c>
      <c r="E81" s="225">
        <v>515.13</v>
      </c>
      <c r="F81" s="226">
        <v>515.13</v>
      </c>
      <c r="G81" s="262" t="s">
        <v>37</v>
      </c>
      <c r="H81" s="263">
        <f t="shared" ref="H81:H94" si="20">IF($G81="P",$F81*$H$19,IF($G81="A",$H$19*$F81,IF($G81="L",0%*$F81)))</f>
        <v>36.059100000000001</v>
      </c>
      <c r="I81" s="263">
        <f t="shared" ref="I81:I94" si="21">$F81*$I$19</f>
        <v>10.3026</v>
      </c>
      <c r="J81" s="225">
        <f t="shared" ref="J81:J94" si="22">F81*$J$19</f>
        <v>5.1513</v>
      </c>
      <c r="K81" s="228">
        <f t="shared" ref="K81:K94" si="23">(F81+H81+I81+J81)*$K$19</f>
        <v>79.330020000000005</v>
      </c>
      <c r="L81" s="229">
        <f t="shared" ref="L81:L115" si="24">SUM(F81:K81)</f>
        <v>645.97302000000002</v>
      </c>
      <c r="M81" s="230">
        <f t="shared" ref="M81:P94" si="25">(($F81-($F81*M$19)+$H81+3.5%*$F81+$J81))*1.14</f>
        <v>507.96969299999995</v>
      </c>
      <c r="N81" s="230">
        <f t="shared" si="25"/>
        <v>449.24487300000004</v>
      </c>
      <c r="O81" s="230">
        <f t="shared" si="25"/>
        <v>408.13749899999999</v>
      </c>
      <c r="P81" s="231">
        <f t="shared" si="25"/>
        <v>361.15764299999995</v>
      </c>
    </row>
    <row r="82" spans="1:16" s="32" customFormat="1" ht="15" customHeight="1">
      <c r="A82" s="251">
        <v>2510</v>
      </c>
      <c r="B82" s="197" t="s">
        <v>111</v>
      </c>
      <c r="C82" s="187">
        <v>1</v>
      </c>
      <c r="D82" s="255">
        <v>14</v>
      </c>
      <c r="E82" s="209">
        <v>156.88999999999999</v>
      </c>
      <c r="F82" s="221">
        <v>156.88999999999999</v>
      </c>
      <c r="G82" s="256" t="s">
        <v>37</v>
      </c>
      <c r="H82" s="257">
        <f t="shared" si="20"/>
        <v>10.9823</v>
      </c>
      <c r="I82" s="257">
        <f t="shared" si="21"/>
        <v>3.1377999999999999</v>
      </c>
      <c r="J82" s="209">
        <f t="shared" si="22"/>
        <v>1.5689</v>
      </c>
      <c r="K82" s="218">
        <f t="shared" si="23"/>
        <v>24.161060000000003</v>
      </c>
      <c r="L82" s="219">
        <f t="shared" si="24"/>
        <v>196.74006</v>
      </c>
      <c r="M82" s="181">
        <f t="shared" si="25"/>
        <v>154.70922899999999</v>
      </c>
      <c r="N82" s="181">
        <f t="shared" si="25"/>
        <v>136.82376899999997</v>
      </c>
      <c r="O82" s="181">
        <f t="shared" si="25"/>
        <v>124.30394699999998</v>
      </c>
      <c r="P82" s="210">
        <f t="shared" si="25"/>
        <v>109.99557899999998</v>
      </c>
    </row>
    <row r="83" spans="1:16" s="32" customFormat="1" ht="15" customHeight="1">
      <c r="A83" s="251">
        <v>2512</v>
      </c>
      <c r="B83" s="197" t="s">
        <v>112</v>
      </c>
      <c r="C83" s="187">
        <v>1</v>
      </c>
      <c r="D83" s="255">
        <v>14</v>
      </c>
      <c r="E83" s="209">
        <v>156.88999999999999</v>
      </c>
      <c r="F83" s="221">
        <v>156.88999999999999</v>
      </c>
      <c r="G83" s="256" t="s">
        <v>37</v>
      </c>
      <c r="H83" s="257">
        <f t="shared" si="20"/>
        <v>10.9823</v>
      </c>
      <c r="I83" s="257">
        <f t="shared" si="21"/>
        <v>3.1377999999999999</v>
      </c>
      <c r="J83" s="209">
        <f t="shared" si="22"/>
        <v>1.5689</v>
      </c>
      <c r="K83" s="218">
        <f t="shared" si="23"/>
        <v>24.161060000000003</v>
      </c>
      <c r="L83" s="219">
        <f t="shared" si="24"/>
        <v>196.74006</v>
      </c>
      <c r="M83" s="181">
        <f t="shared" si="25"/>
        <v>154.70922899999999</v>
      </c>
      <c r="N83" s="181">
        <f t="shared" si="25"/>
        <v>136.82376899999997</v>
      </c>
      <c r="O83" s="181">
        <f t="shared" si="25"/>
        <v>124.30394699999998</v>
      </c>
      <c r="P83" s="210">
        <f t="shared" si="25"/>
        <v>109.99557899999998</v>
      </c>
    </row>
    <row r="84" spans="1:16" s="32" customFormat="1" ht="15" customHeight="1">
      <c r="A84" s="251">
        <v>2514</v>
      </c>
      <c r="B84" s="197" t="s">
        <v>113</v>
      </c>
      <c r="C84" s="187">
        <v>1</v>
      </c>
      <c r="D84" s="255">
        <v>18</v>
      </c>
      <c r="E84" s="209">
        <v>201.35</v>
      </c>
      <c r="F84" s="221">
        <v>201.35</v>
      </c>
      <c r="G84" s="256" t="s">
        <v>37</v>
      </c>
      <c r="H84" s="257">
        <f t="shared" si="20"/>
        <v>14.094500000000002</v>
      </c>
      <c r="I84" s="257">
        <f t="shared" si="21"/>
        <v>4.0270000000000001</v>
      </c>
      <c r="J84" s="209">
        <f t="shared" si="22"/>
        <v>2.0135000000000001</v>
      </c>
      <c r="K84" s="218">
        <f t="shared" si="23"/>
        <v>31.007899999999999</v>
      </c>
      <c r="L84" s="219">
        <f t="shared" si="24"/>
        <v>252.49289999999999</v>
      </c>
      <c r="M84" s="181">
        <f t="shared" si="25"/>
        <v>198.55123499999996</v>
      </c>
      <c r="N84" s="181">
        <f t="shared" si="25"/>
        <v>175.59733499999999</v>
      </c>
      <c r="O84" s="181">
        <f t="shared" si="25"/>
        <v>159.52960499999998</v>
      </c>
      <c r="P84" s="210">
        <f t="shared" si="25"/>
        <v>141.16648499999997</v>
      </c>
    </row>
    <row r="85" spans="1:16" s="32" customFormat="1" ht="15" customHeight="1">
      <c r="A85" s="251">
        <v>902</v>
      </c>
      <c r="B85" s="197" t="s">
        <v>114</v>
      </c>
      <c r="C85" s="187">
        <v>1</v>
      </c>
      <c r="D85" s="255">
        <v>46</v>
      </c>
      <c r="E85" s="209">
        <v>515.13</v>
      </c>
      <c r="F85" s="221">
        <v>515.13</v>
      </c>
      <c r="G85" s="256" t="s">
        <v>37</v>
      </c>
      <c r="H85" s="257">
        <f t="shared" si="20"/>
        <v>36.059100000000001</v>
      </c>
      <c r="I85" s="257">
        <f t="shared" si="21"/>
        <v>10.3026</v>
      </c>
      <c r="J85" s="209">
        <f t="shared" si="22"/>
        <v>5.1513</v>
      </c>
      <c r="K85" s="218">
        <f t="shared" si="23"/>
        <v>79.330020000000005</v>
      </c>
      <c r="L85" s="219">
        <f t="shared" si="24"/>
        <v>645.97302000000002</v>
      </c>
      <c r="M85" s="181">
        <f t="shared" si="25"/>
        <v>507.96969299999995</v>
      </c>
      <c r="N85" s="181">
        <f t="shared" si="25"/>
        <v>449.24487300000004</v>
      </c>
      <c r="O85" s="181">
        <f t="shared" si="25"/>
        <v>408.13749899999999</v>
      </c>
      <c r="P85" s="210">
        <f t="shared" si="25"/>
        <v>361.15764299999995</v>
      </c>
    </row>
    <row r="86" spans="1:16" s="32" customFormat="1" ht="15" customHeight="1">
      <c r="A86" s="251">
        <v>2511</v>
      </c>
      <c r="B86" s="197" t="s">
        <v>115</v>
      </c>
      <c r="C86" s="187">
        <v>1</v>
      </c>
      <c r="D86" s="255">
        <v>14</v>
      </c>
      <c r="E86" s="209">
        <v>156.88999999999999</v>
      </c>
      <c r="F86" s="221">
        <v>156.88999999999999</v>
      </c>
      <c r="G86" s="256" t="s">
        <v>37</v>
      </c>
      <c r="H86" s="257">
        <f t="shared" si="20"/>
        <v>10.9823</v>
      </c>
      <c r="I86" s="257">
        <f t="shared" si="21"/>
        <v>3.1377999999999999</v>
      </c>
      <c r="J86" s="209">
        <f t="shared" si="22"/>
        <v>1.5689</v>
      </c>
      <c r="K86" s="218">
        <f t="shared" si="23"/>
        <v>24.161060000000003</v>
      </c>
      <c r="L86" s="219">
        <f t="shared" si="24"/>
        <v>196.74006</v>
      </c>
      <c r="M86" s="181">
        <f t="shared" si="25"/>
        <v>154.70922899999999</v>
      </c>
      <c r="N86" s="181">
        <f t="shared" si="25"/>
        <v>136.82376899999997</v>
      </c>
      <c r="O86" s="181">
        <f t="shared" si="25"/>
        <v>124.30394699999998</v>
      </c>
      <c r="P86" s="210">
        <f t="shared" si="25"/>
        <v>109.99557899999998</v>
      </c>
    </row>
    <row r="87" spans="1:16" s="32" customFormat="1" ht="15" customHeight="1">
      <c r="A87" s="251">
        <v>2513</v>
      </c>
      <c r="B87" s="197" t="s">
        <v>116</v>
      </c>
      <c r="C87" s="187">
        <v>1</v>
      </c>
      <c r="D87" s="255">
        <v>14</v>
      </c>
      <c r="E87" s="209">
        <v>156.88999999999999</v>
      </c>
      <c r="F87" s="221">
        <v>156.88999999999999</v>
      </c>
      <c r="G87" s="256" t="s">
        <v>37</v>
      </c>
      <c r="H87" s="257">
        <f t="shared" si="20"/>
        <v>10.9823</v>
      </c>
      <c r="I87" s="257">
        <f t="shared" si="21"/>
        <v>3.1377999999999999</v>
      </c>
      <c r="J87" s="209">
        <f t="shared" si="22"/>
        <v>1.5689</v>
      </c>
      <c r="K87" s="218">
        <f t="shared" si="23"/>
        <v>24.161060000000003</v>
      </c>
      <c r="L87" s="219">
        <f t="shared" si="24"/>
        <v>196.74006</v>
      </c>
      <c r="M87" s="181">
        <f t="shared" si="25"/>
        <v>154.70922899999999</v>
      </c>
      <c r="N87" s="181">
        <f t="shared" si="25"/>
        <v>136.82376899999997</v>
      </c>
      <c r="O87" s="181">
        <f t="shared" si="25"/>
        <v>124.30394699999998</v>
      </c>
      <c r="P87" s="210">
        <f t="shared" si="25"/>
        <v>109.99557899999998</v>
      </c>
    </row>
    <row r="88" spans="1:16" s="32" customFormat="1" ht="15" customHeight="1">
      <c r="A88" s="251">
        <v>2515</v>
      </c>
      <c r="B88" s="197" t="s">
        <v>117</v>
      </c>
      <c r="C88" s="187">
        <v>1</v>
      </c>
      <c r="D88" s="255">
        <v>18</v>
      </c>
      <c r="E88" s="209">
        <v>201.35</v>
      </c>
      <c r="F88" s="221">
        <v>201.35</v>
      </c>
      <c r="G88" s="256" t="s">
        <v>37</v>
      </c>
      <c r="H88" s="257">
        <f t="shared" si="20"/>
        <v>14.094500000000002</v>
      </c>
      <c r="I88" s="257">
        <f t="shared" si="21"/>
        <v>4.0270000000000001</v>
      </c>
      <c r="J88" s="209">
        <f t="shared" si="22"/>
        <v>2.0135000000000001</v>
      </c>
      <c r="K88" s="218">
        <f t="shared" si="23"/>
        <v>31.007899999999999</v>
      </c>
      <c r="L88" s="219">
        <f t="shared" si="24"/>
        <v>252.49289999999999</v>
      </c>
      <c r="M88" s="181">
        <f t="shared" si="25"/>
        <v>198.55123499999996</v>
      </c>
      <c r="N88" s="181">
        <f t="shared" si="25"/>
        <v>175.59733499999999</v>
      </c>
      <c r="O88" s="181">
        <f t="shared" si="25"/>
        <v>159.52960499999998</v>
      </c>
      <c r="P88" s="210">
        <f t="shared" si="25"/>
        <v>141.16648499999997</v>
      </c>
    </row>
    <row r="89" spans="1:16" s="32" customFormat="1" ht="15" customHeight="1">
      <c r="A89" s="251">
        <v>2516</v>
      </c>
      <c r="B89" s="197" t="s">
        <v>118</v>
      </c>
      <c r="C89" s="187">
        <v>1</v>
      </c>
      <c r="D89" s="255">
        <v>34</v>
      </c>
      <c r="E89" s="209">
        <v>380.47</v>
      </c>
      <c r="F89" s="221">
        <v>380.47</v>
      </c>
      <c r="G89" s="256" t="s">
        <v>37</v>
      </c>
      <c r="H89" s="257">
        <f t="shared" si="20"/>
        <v>26.632900000000003</v>
      </c>
      <c r="I89" s="257">
        <f t="shared" si="21"/>
        <v>7.6094000000000008</v>
      </c>
      <c r="J89" s="209">
        <f t="shared" si="22"/>
        <v>3.8047000000000004</v>
      </c>
      <c r="K89" s="218">
        <f t="shared" si="23"/>
        <v>58.592380000000013</v>
      </c>
      <c r="L89" s="219">
        <f t="shared" si="24"/>
        <v>477.10938000000004</v>
      </c>
      <c r="M89" s="181">
        <f t="shared" si="25"/>
        <v>375.181467</v>
      </c>
      <c r="N89" s="181">
        <f t="shared" si="25"/>
        <v>331.80788699999999</v>
      </c>
      <c r="O89" s="181">
        <f t="shared" si="25"/>
        <v>301.44638100000003</v>
      </c>
      <c r="P89" s="210">
        <f t="shared" si="25"/>
        <v>266.74751700000002</v>
      </c>
    </row>
    <row r="90" spans="1:16" s="32" customFormat="1" ht="15" customHeight="1">
      <c r="A90" s="251">
        <v>2517</v>
      </c>
      <c r="B90" s="197" t="s">
        <v>119</v>
      </c>
      <c r="C90" s="187">
        <v>1</v>
      </c>
      <c r="D90" s="255">
        <v>22</v>
      </c>
      <c r="E90" s="209">
        <v>247.11</v>
      </c>
      <c r="F90" s="221">
        <v>247.11</v>
      </c>
      <c r="G90" s="256" t="s">
        <v>37</v>
      </c>
      <c r="H90" s="257">
        <f t="shared" si="20"/>
        <v>17.297700000000003</v>
      </c>
      <c r="I90" s="257">
        <f t="shared" si="21"/>
        <v>4.9422000000000006</v>
      </c>
      <c r="J90" s="209">
        <f t="shared" si="22"/>
        <v>2.4711000000000003</v>
      </c>
      <c r="K90" s="218">
        <f t="shared" si="23"/>
        <v>38.054940000000009</v>
      </c>
      <c r="L90" s="219">
        <f t="shared" si="24"/>
        <v>309.87594000000001</v>
      </c>
      <c r="M90" s="181">
        <f t="shared" si="25"/>
        <v>243.67517100000001</v>
      </c>
      <c r="N90" s="181">
        <f t="shared" si="25"/>
        <v>215.50463100000002</v>
      </c>
      <c r="O90" s="181">
        <f t="shared" si="25"/>
        <v>195.78525300000001</v>
      </c>
      <c r="P90" s="210">
        <f t="shared" si="25"/>
        <v>173.24882099999999</v>
      </c>
    </row>
    <row r="91" spans="1:16" s="32" customFormat="1" ht="15" customHeight="1">
      <c r="A91" s="251">
        <v>2518</v>
      </c>
      <c r="B91" s="197" t="s">
        <v>120</v>
      </c>
      <c r="C91" s="187">
        <v>1</v>
      </c>
      <c r="D91" s="255">
        <v>22</v>
      </c>
      <c r="E91" s="209">
        <v>247.11</v>
      </c>
      <c r="F91" s="221">
        <v>247.11</v>
      </c>
      <c r="G91" s="256" t="s">
        <v>37</v>
      </c>
      <c r="H91" s="257">
        <f t="shared" si="20"/>
        <v>17.297700000000003</v>
      </c>
      <c r="I91" s="257">
        <f t="shared" si="21"/>
        <v>4.9422000000000006</v>
      </c>
      <c r="J91" s="209">
        <f t="shared" si="22"/>
        <v>2.4711000000000003</v>
      </c>
      <c r="K91" s="218">
        <f t="shared" si="23"/>
        <v>38.054940000000009</v>
      </c>
      <c r="L91" s="219">
        <f t="shared" si="24"/>
        <v>309.87594000000001</v>
      </c>
      <c r="M91" s="181">
        <f t="shared" si="25"/>
        <v>243.67517100000001</v>
      </c>
      <c r="N91" s="181">
        <f t="shared" si="25"/>
        <v>215.50463100000002</v>
      </c>
      <c r="O91" s="181">
        <f t="shared" si="25"/>
        <v>195.78525300000001</v>
      </c>
      <c r="P91" s="210">
        <f t="shared" si="25"/>
        <v>173.24882099999999</v>
      </c>
    </row>
    <row r="92" spans="1:16" s="32" customFormat="1" ht="15" customHeight="1">
      <c r="A92" s="251">
        <v>2519</v>
      </c>
      <c r="B92" s="197" t="s">
        <v>121</v>
      </c>
      <c r="C92" s="187">
        <v>1</v>
      </c>
      <c r="D92" s="255">
        <v>20</v>
      </c>
      <c r="E92" s="209">
        <v>224.49</v>
      </c>
      <c r="F92" s="221">
        <v>224.49</v>
      </c>
      <c r="G92" s="256" t="s">
        <v>37</v>
      </c>
      <c r="H92" s="257">
        <f t="shared" si="20"/>
        <v>15.714300000000001</v>
      </c>
      <c r="I92" s="257">
        <f t="shared" si="21"/>
        <v>4.4898000000000007</v>
      </c>
      <c r="J92" s="209">
        <f t="shared" si="22"/>
        <v>2.2449000000000003</v>
      </c>
      <c r="K92" s="218">
        <f t="shared" si="23"/>
        <v>34.571460000000009</v>
      </c>
      <c r="L92" s="219">
        <f t="shared" si="24"/>
        <v>281.51046000000002</v>
      </c>
      <c r="M92" s="181">
        <f t="shared" si="25"/>
        <v>221.36958899999999</v>
      </c>
      <c r="N92" s="181">
        <f t="shared" si="25"/>
        <v>195.77772899999997</v>
      </c>
      <c r="O92" s="181">
        <f t="shared" si="25"/>
        <v>177.863427</v>
      </c>
      <c r="P92" s="210">
        <f t="shared" si="25"/>
        <v>157.389939</v>
      </c>
    </row>
    <row r="93" spans="1:16" s="32" customFormat="1" ht="15" customHeight="1">
      <c r="A93" s="258">
        <v>2520</v>
      </c>
      <c r="B93" s="259" t="s">
        <v>122</v>
      </c>
      <c r="C93" s="260">
        <v>1</v>
      </c>
      <c r="D93" s="261">
        <v>20</v>
      </c>
      <c r="E93" s="225">
        <v>224.49</v>
      </c>
      <c r="F93" s="226">
        <v>224.49</v>
      </c>
      <c r="G93" s="262" t="s">
        <v>37</v>
      </c>
      <c r="H93" s="263">
        <f t="shared" si="20"/>
        <v>15.714300000000001</v>
      </c>
      <c r="I93" s="263">
        <f t="shared" si="21"/>
        <v>4.4898000000000007</v>
      </c>
      <c r="J93" s="225">
        <f t="shared" si="22"/>
        <v>2.2449000000000003</v>
      </c>
      <c r="K93" s="228">
        <f t="shared" si="23"/>
        <v>34.571460000000009</v>
      </c>
      <c r="L93" s="229">
        <f t="shared" si="24"/>
        <v>281.51046000000002</v>
      </c>
      <c r="M93" s="230">
        <f t="shared" si="25"/>
        <v>221.36958899999999</v>
      </c>
      <c r="N93" s="230">
        <f t="shared" si="25"/>
        <v>195.77772899999997</v>
      </c>
      <c r="O93" s="230">
        <f t="shared" si="25"/>
        <v>177.863427</v>
      </c>
      <c r="P93" s="231">
        <f t="shared" si="25"/>
        <v>157.389939</v>
      </c>
    </row>
    <row r="94" spans="1:16" s="32" customFormat="1" ht="15" customHeight="1">
      <c r="A94" s="251">
        <v>2521</v>
      </c>
      <c r="B94" s="197" t="s">
        <v>123</v>
      </c>
      <c r="C94" s="187">
        <v>1</v>
      </c>
      <c r="D94" s="255">
        <v>20</v>
      </c>
      <c r="E94" s="209">
        <v>224.49</v>
      </c>
      <c r="F94" s="221">
        <v>224.49</v>
      </c>
      <c r="G94" s="256" t="s">
        <v>37</v>
      </c>
      <c r="H94" s="257">
        <f t="shared" si="20"/>
        <v>15.714300000000001</v>
      </c>
      <c r="I94" s="257">
        <f t="shared" si="21"/>
        <v>4.4898000000000007</v>
      </c>
      <c r="J94" s="209">
        <f t="shared" si="22"/>
        <v>2.2449000000000003</v>
      </c>
      <c r="K94" s="218">
        <f t="shared" si="23"/>
        <v>34.571460000000009</v>
      </c>
      <c r="L94" s="219">
        <f t="shared" si="24"/>
        <v>281.51046000000002</v>
      </c>
      <c r="M94" s="181">
        <f t="shared" si="25"/>
        <v>221.36958899999999</v>
      </c>
      <c r="N94" s="181">
        <f t="shared" si="25"/>
        <v>195.77772899999997</v>
      </c>
      <c r="O94" s="181">
        <f t="shared" si="25"/>
        <v>177.863427</v>
      </c>
      <c r="P94" s="210">
        <f t="shared" si="25"/>
        <v>157.389939</v>
      </c>
    </row>
    <row r="95" spans="1:16" s="32" customFormat="1" ht="15" customHeight="1">
      <c r="A95" s="352" t="s">
        <v>101</v>
      </c>
      <c r="B95" s="351"/>
      <c r="C95" s="200"/>
      <c r="D95" s="201"/>
      <c r="E95" s="213"/>
      <c r="F95" s="213"/>
      <c r="G95" s="215"/>
      <c r="H95" s="215"/>
      <c r="I95" s="215"/>
      <c r="J95" s="213"/>
      <c r="K95" s="215"/>
      <c r="L95" s="213"/>
      <c r="M95" s="214"/>
      <c r="N95" s="214"/>
      <c r="O95" s="214"/>
      <c r="P95" s="210"/>
    </row>
    <row r="96" spans="1:16" s="27" customFormat="1" ht="15" customHeight="1">
      <c r="A96" s="183">
        <v>2890</v>
      </c>
      <c r="B96" s="184" t="s">
        <v>52</v>
      </c>
      <c r="C96" s="187">
        <v>1</v>
      </c>
      <c r="D96" s="176">
        <v>22.5</v>
      </c>
      <c r="E96" s="209">
        <v>232.98</v>
      </c>
      <c r="F96" s="221">
        <v>232.98</v>
      </c>
      <c r="G96" s="217" t="s">
        <v>37</v>
      </c>
      <c r="H96" s="209">
        <f>IF($G96="P",$F96*$H$19,IF($G96="A",$H$19*$F96,IF($G96="L",0%*$F96)))</f>
        <v>16.308600000000002</v>
      </c>
      <c r="I96" s="209">
        <f>$F96*$I$19</f>
        <v>4.6596000000000002</v>
      </c>
      <c r="J96" s="209">
        <f>F96*$J$19</f>
        <v>2.3298000000000001</v>
      </c>
      <c r="K96" s="218">
        <f>(F96+H96+I96+J96)*$K$19</f>
        <v>35.878920000000008</v>
      </c>
      <c r="L96" s="219">
        <f t="shared" si="24"/>
        <v>292.15692000000001</v>
      </c>
      <c r="M96" s="181">
        <f t="shared" ref="M96:P99" si="26">(($F96-($F96*M$19)+$H96+3.5%*$F96+$J96))*1.14</f>
        <v>229.741578</v>
      </c>
      <c r="N96" s="181">
        <f t="shared" si="26"/>
        <v>203.18185800000003</v>
      </c>
      <c r="O96" s="181">
        <f t="shared" si="26"/>
        <v>184.59005400000001</v>
      </c>
      <c r="P96" s="210">
        <f t="shared" si="26"/>
        <v>163.34227799999999</v>
      </c>
    </row>
    <row r="97" spans="1:85" s="27" customFormat="1" ht="15" customHeight="1">
      <c r="A97" s="183">
        <v>2997</v>
      </c>
      <c r="B97" s="184" t="s">
        <v>53</v>
      </c>
      <c r="C97" s="187">
        <v>1</v>
      </c>
      <c r="D97" s="176">
        <v>6.5</v>
      </c>
      <c r="E97" s="209">
        <v>70.599999999999994</v>
      </c>
      <c r="F97" s="221">
        <v>70.599999999999994</v>
      </c>
      <c r="G97" s="217" t="s">
        <v>37</v>
      </c>
      <c r="H97" s="209">
        <f>IF($G97="P",$F97*$H$19,IF($G97="A",$H$19*$F97,IF($G97="L",0%*$F97)))</f>
        <v>4.9420000000000002</v>
      </c>
      <c r="I97" s="209">
        <f>$F97*$I$19</f>
        <v>1.4119999999999999</v>
      </c>
      <c r="J97" s="209">
        <f>F97*$J$19</f>
        <v>0.70599999999999996</v>
      </c>
      <c r="K97" s="218">
        <f>(F97+H97+I97+J97)*$K$19</f>
        <v>10.872400000000003</v>
      </c>
      <c r="L97" s="219">
        <f t="shared" si="24"/>
        <v>88.53240000000001</v>
      </c>
      <c r="M97" s="181">
        <f t="shared" si="26"/>
        <v>69.618659999999991</v>
      </c>
      <c r="N97" s="181">
        <f t="shared" si="26"/>
        <v>61.570259999999998</v>
      </c>
      <c r="O97" s="181">
        <f t="shared" si="26"/>
        <v>55.936379999999986</v>
      </c>
      <c r="P97" s="210">
        <f t="shared" si="26"/>
        <v>49.497659999999989</v>
      </c>
    </row>
    <row r="98" spans="1:85" s="27" customFormat="1" ht="15" customHeight="1">
      <c r="A98" s="183">
        <v>444</v>
      </c>
      <c r="B98" s="184" t="s">
        <v>85</v>
      </c>
      <c r="C98" s="187">
        <v>1</v>
      </c>
      <c r="D98" s="176">
        <v>16</v>
      </c>
      <c r="E98" s="209">
        <v>169.96</v>
      </c>
      <c r="F98" s="221">
        <v>169.96</v>
      </c>
      <c r="G98" s="217" t="s">
        <v>37</v>
      </c>
      <c r="H98" s="209">
        <f>IF($G98="P",$F98*$H$19,IF($G98="A",$H$19*$F98,IF($G98="L",0%*$F98)))</f>
        <v>11.897200000000002</v>
      </c>
      <c r="I98" s="209">
        <f>$F98*$I$19</f>
        <v>3.3992000000000004</v>
      </c>
      <c r="J98" s="209">
        <f>F98*$J$19</f>
        <v>1.6996000000000002</v>
      </c>
      <c r="K98" s="218">
        <f>(F98+H98+I98+J98)*$K$19</f>
        <v>26.173840000000006</v>
      </c>
      <c r="L98" s="219">
        <f t="shared" si="24"/>
        <v>213.12984000000003</v>
      </c>
      <c r="M98" s="181">
        <f t="shared" si="26"/>
        <v>167.597556</v>
      </c>
      <c r="N98" s="181">
        <f t="shared" si="26"/>
        <v>148.222116</v>
      </c>
      <c r="O98" s="181">
        <f t="shared" si="26"/>
        <v>134.65930800000001</v>
      </c>
      <c r="P98" s="210">
        <f t="shared" si="26"/>
        <v>119.15895599999999</v>
      </c>
    </row>
    <row r="99" spans="1:85" s="27" customFormat="1" ht="15" customHeight="1" thickBot="1">
      <c r="A99" s="195">
        <v>445</v>
      </c>
      <c r="B99" s="196" t="s">
        <v>86</v>
      </c>
      <c r="C99" s="190">
        <v>1</v>
      </c>
      <c r="D99" s="191">
        <v>22</v>
      </c>
      <c r="E99" s="247">
        <v>234.47</v>
      </c>
      <c r="F99" s="248">
        <v>234.47</v>
      </c>
      <c r="G99" s="249" t="s">
        <v>37</v>
      </c>
      <c r="H99" s="247">
        <f>IF($G99="P",$F99*$H$19,IF($G99="A",$H$19*$F99,IF($G99="L",0%*$F99)))</f>
        <v>16.4129</v>
      </c>
      <c r="I99" s="247">
        <f>$F99*$I$19</f>
        <v>4.6894</v>
      </c>
      <c r="J99" s="247">
        <f>F99*$J$19</f>
        <v>2.3447</v>
      </c>
      <c r="K99" s="343">
        <f>(F99+H99+I99+J99)*$K$19</f>
        <v>36.108380000000011</v>
      </c>
      <c r="L99" s="413">
        <f t="shared" si="24"/>
        <v>294.02538000000004</v>
      </c>
      <c r="M99" s="399">
        <f t="shared" si="26"/>
        <v>231.21086699999995</v>
      </c>
      <c r="N99" s="399">
        <f t="shared" si="26"/>
        <v>204.48128699999998</v>
      </c>
      <c r="O99" s="399">
        <f t="shared" si="26"/>
        <v>185.77058099999994</v>
      </c>
      <c r="P99" s="279">
        <f t="shared" si="26"/>
        <v>164.38691699999995</v>
      </c>
    </row>
    <row r="100" spans="1:85" s="27" customFormat="1" ht="15" customHeight="1">
      <c r="A100" s="434" t="s">
        <v>102</v>
      </c>
      <c r="B100" s="435"/>
      <c r="C100" s="436"/>
      <c r="D100" s="437"/>
      <c r="E100" s="308"/>
      <c r="F100" s="308"/>
      <c r="G100" s="438"/>
      <c r="H100" s="438"/>
      <c r="I100" s="438"/>
      <c r="J100" s="308"/>
      <c r="K100" s="438"/>
      <c r="L100" s="308"/>
      <c r="M100" s="439"/>
      <c r="N100" s="439"/>
      <c r="O100" s="439"/>
      <c r="P100" s="440"/>
    </row>
    <row r="101" spans="1:85" s="27" customFormat="1" ht="15" customHeight="1">
      <c r="A101" s="183">
        <v>353</v>
      </c>
      <c r="B101" s="184" t="s">
        <v>56</v>
      </c>
      <c r="C101" s="175">
        <v>1</v>
      </c>
      <c r="D101" s="176">
        <v>17</v>
      </c>
      <c r="E101" s="209">
        <v>149.71</v>
      </c>
      <c r="F101" s="221">
        <v>149.71</v>
      </c>
      <c r="G101" s="217" t="s">
        <v>37</v>
      </c>
      <c r="H101" s="209">
        <f>IF($G101="P",$F101*$H$19,IF($G101="A",$H$19*$F101,IF($G101="L",0%*$F101)))</f>
        <v>10.479700000000001</v>
      </c>
      <c r="I101" s="209">
        <f>$F101*$I$19</f>
        <v>2.9942000000000002</v>
      </c>
      <c r="J101" s="209">
        <f>F101*$J$19</f>
        <v>1.4971000000000001</v>
      </c>
      <c r="K101" s="218">
        <f>(F101+H101+I101+J101)*$K$19</f>
        <v>23.055340000000005</v>
      </c>
      <c r="L101" s="219">
        <f t="shared" si="24"/>
        <v>187.73634000000001</v>
      </c>
      <c r="M101" s="181">
        <f t="shared" ref="M101:P102" si="27">(($F101-($F101*M$19)+$H101+3.5%*$F101+$J101))*1.14</f>
        <v>147.62903099999997</v>
      </c>
      <c r="N101" s="181">
        <f t="shared" si="27"/>
        <v>130.56209100000001</v>
      </c>
      <c r="O101" s="181">
        <f t="shared" si="27"/>
        <v>118.61523300000003</v>
      </c>
      <c r="P101" s="210">
        <f t="shared" si="27"/>
        <v>104.961681</v>
      </c>
    </row>
    <row r="102" spans="1:85" s="27" customFormat="1" ht="15" customHeight="1">
      <c r="A102" s="195">
        <v>354</v>
      </c>
      <c r="B102" s="196" t="s">
        <v>57</v>
      </c>
      <c r="C102" s="421">
        <v>1</v>
      </c>
      <c r="D102" s="191">
        <v>28</v>
      </c>
      <c r="E102" s="247">
        <v>252.21</v>
      </c>
      <c r="F102" s="248">
        <v>252.21</v>
      </c>
      <c r="G102" s="249" t="s">
        <v>37</v>
      </c>
      <c r="H102" s="247">
        <f>IF($G102="P",$F102*$H$19,IF($G102="A",$H$19*$F102,IF($G102="L",0%*$F102)))</f>
        <v>17.654700000000002</v>
      </c>
      <c r="I102" s="247">
        <f>$F102*$I$19</f>
        <v>5.0442</v>
      </c>
      <c r="J102" s="247">
        <f>F102*$J$19</f>
        <v>2.5221</v>
      </c>
      <c r="K102" s="343">
        <f>(F102+H102+I102+J102)*$K$19</f>
        <v>38.840340000000012</v>
      </c>
      <c r="L102" s="413">
        <f t="shared" si="24"/>
        <v>316.27134000000007</v>
      </c>
      <c r="M102" s="399">
        <f t="shared" si="27"/>
        <v>248.70428099999995</v>
      </c>
      <c r="N102" s="399">
        <f t="shared" si="27"/>
        <v>219.95234099999999</v>
      </c>
      <c r="O102" s="399">
        <f t="shared" si="27"/>
        <v>199.82598299999998</v>
      </c>
      <c r="P102" s="279">
        <f t="shared" si="27"/>
        <v>176.82443099999998</v>
      </c>
    </row>
    <row r="103" spans="1:85" s="27" customFormat="1" ht="15" customHeight="1">
      <c r="A103" s="352" t="s">
        <v>103</v>
      </c>
      <c r="B103" s="351"/>
      <c r="C103" s="200"/>
      <c r="D103" s="201"/>
      <c r="E103" s="213"/>
      <c r="F103" s="213"/>
      <c r="G103" s="215"/>
      <c r="H103" s="215"/>
      <c r="I103" s="215"/>
      <c r="J103" s="213"/>
      <c r="K103" s="215"/>
      <c r="L103" s="213"/>
      <c r="M103" s="214"/>
      <c r="N103" s="214"/>
      <c r="O103" s="214"/>
      <c r="P103" s="210"/>
    </row>
    <row r="104" spans="1:85" s="27" customFormat="1" ht="15" customHeight="1">
      <c r="A104" s="251">
        <v>862</v>
      </c>
      <c r="B104" s="197" t="s">
        <v>145</v>
      </c>
      <c r="C104" s="266">
        <v>1</v>
      </c>
      <c r="D104" s="252">
        <v>45</v>
      </c>
      <c r="E104" s="209">
        <v>503.36</v>
      </c>
      <c r="F104" s="221">
        <v>503.36</v>
      </c>
      <c r="G104" s="253" t="s">
        <v>37</v>
      </c>
      <c r="H104" s="209">
        <f>IF($G104="P",$F104*$H$19,IF($G104="A",$H$19*$F104,IF($G104="L",0%*$F104)))</f>
        <v>35.235200000000006</v>
      </c>
      <c r="I104" s="209">
        <f>$F104*$I$19</f>
        <v>10.0672</v>
      </c>
      <c r="J104" s="209">
        <f>F104*$J$19</f>
        <v>5.0335999999999999</v>
      </c>
      <c r="K104" s="218">
        <f>(F104+H104+I104+J104)*$K$19</f>
        <v>77.517439999999993</v>
      </c>
      <c r="L104" s="219">
        <f t="shared" si="24"/>
        <v>631.21343999999988</v>
      </c>
      <c r="M104" s="181">
        <f t="shared" ref="M104:P115" si="28">(($F104-($F104*M$19)+$H104+3.5%*$F104+$J104))*1.14</f>
        <v>496.36329599999993</v>
      </c>
      <c r="N104" s="181">
        <f t="shared" si="28"/>
        <v>438.980256</v>
      </c>
      <c r="O104" s="181">
        <f t="shared" si="28"/>
        <v>398.81212799999997</v>
      </c>
      <c r="P104" s="210">
        <f t="shared" si="28"/>
        <v>352.90569599999998</v>
      </c>
    </row>
    <row r="105" spans="1:85" s="27" customFormat="1" ht="15" customHeight="1">
      <c r="A105" s="251">
        <v>864</v>
      </c>
      <c r="B105" s="197" t="s">
        <v>146</v>
      </c>
      <c r="C105" s="266">
        <v>1</v>
      </c>
      <c r="D105" s="252">
        <v>45</v>
      </c>
      <c r="E105" s="209">
        <v>503.36</v>
      </c>
      <c r="F105" s="221">
        <v>503.36</v>
      </c>
      <c r="G105" s="253" t="s">
        <v>37</v>
      </c>
      <c r="H105" s="209">
        <f>IF($G105="P",$F105*$H$19,IF($G105="A",$H$19*$F105,IF($G105="L",0%*$F105)))</f>
        <v>35.235200000000006</v>
      </c>
      <c r="I105" s="209">
        <f>$F105*$I$19</f>
        <v>10.0672</v>
      </c>
      <c r="J105" s="209">
        <f>F105*$J$19</f>
        <v>5.0335999999999999</v>
      </c>
      <c r="K105" s="218">
        <f>(F105+H105+I105+J105)*$K$19</f>
        <v>77.517439999999993</v>
      </c>
      <c r="L105" s="219">
        <f t="shared" si="24"/>
        <v>631.21343999999988</v>
      </c>
      <c r="M105" s="181">
        <f t="shared" si="28"/>
        <v>496.36329599999993</v>
      </c>
      <c r="N105" s="181">
        <f t="shared" si="28"/>
        <v>438.980256</v>
      </c>
      <c r="O105" s="181">
        <f t="shared" si="28"/>
        <v>398.81212799999997</v>
      </c>
      <c r="P105" s="210">
        <f t="shared" si="28"/>
        <v>352.90569599999998</v>
      </c>
    </row>
    <row r="106" spans="1:85" s="27" customFormat="1" ht="15" customHeight="1">
      <c r="A106" s="251">
        <v>865</v>
      </c>
      <c r="B106" s="197" t="s">
        <v>147</v>
      </c>
      <c r="C106" s="266">
        <v>1</v>
      </c>
      <c r="D106" s="252">
        <v>40</v>
      </c>
      <c r="E106" s="209">
        <v>448.4</v>
      </c>
      <c r="F106" s="221">
        <v>448.44</v>
      </c>
      <c r="G106" s="253" t="s">
        <v>37</v>
      </c>
      <c r="H106" s="209">
        <f>IF($G106="P",$F106*$H$19,IF($G106="A",$H$19*$F106,IF($G106="L",0%*$F106)))</f>
        <v>31.390800000000002</v>
      </c>
      <c r="I106" s="209">
        <f>$F106*$I$19</f>
        <v>8.9687999999999999</v>
      </c>
      <c r="J106" s="209">
        <f>F106*$J$19</f>
        <v>4.4843999999999999</v>
      </c>
      <c r="K106" s="218">
        <f>(F106+H106+I106+J106)*$K$19</f>
        <v>69.059760000000011</v>
      </c>
      <c r="L106" s="219">
        <f t="shared" si="24"/>
        <v>562.34375999999997</v>
      </c>
      <c r="M106" s="181">
        <f t="shared" si="28"/>
        <v>442.20668399999994</v>
      </c>
      <c r="N106" s="181">
        <f t="shared" si="28"/>
        <v>391.08452399999999</v>
      </c>
      <c r="O106" s="181">
        <f t="shared" si="28"/>
        <v>355.29901199999995</v>
      </c>
      <c r="P106" s="210">
        <f t="shared" si="28"/>
        <v>314.40128399999998</v>
      </c>
    </row>
    <row r="107" spans="1:85" s="27" customFormat="1" ht="15" customHeight="1">
      <c r="A107" s="251">
        <v>866</v>
      </c>
      <c r="B107" s="197" t="s">
        <v>148</v>
      </c>
      <c r="C107" s="414">
        <v>1</v>
      </c>
      <c r="D107" s="415">
        <v>19</v>
      </c>
      <c r="E107" s="247">
        <v>213.12</v>
      </c>
      <c r="F107" s="248">
        <v>213.12</v>
      </c>
      <c r="G107" s="416" t="s">
        <v>37</v>
      </c>
      <c r="H107" s="247">
        <f>IF($G107="P",$F107*$H$19,IF($G107="A",$H$19*$F107,IF($G107="L",0%*$F107)))</f>
        <v>14.918400000000002</v>
      </c>
      <c r="I107" s="247">
        <f>$F107*$I$19</f>
        <v>4.2624000000000004</v>
      </c>
      <c r="J107" s="247">
        <f>F107*$J$19</f>
        <v>2.1312000000000002</v>
      </c>
      <c r="K107" s="343">
        <f>(F107+H107+I107+J107)*$K$19</f>
        <v>32.820480000000003</v>
      </c>
      <c r="L107" s="413">
        <f t="shared" si="24"/>
        <v>267.25247999999999</v>
      </c>
      <c r="M107" s="399">
        <f t="shared" si="28"/>
        <v>210.15763200000001</v>
      </c>
      <c r="N107" s="399">
        <f t="shared" si="28"/>
        <v>185.861952</v>
      </c>
      <c r="O107" s="399">
        <f t="shared" si="28"/>
        <v>168.85497599999999</v>
      </c>
      <c r="P107" s="279">
        <f t="shared" si="28"/>
        <v>149.418432</v>
      </c>
    </row>
    <row r="108" spans="1:85" s="27" customFormat="1" ht="15" customHeight="1">
      <c r="A108" s="352" t="s">
        <v>104</v>
      </c>
      <c r="B108" s="465"/>
      <c r="C108" s="385"/>
      <c r="D108" s="385"/>
      <c r="E108" s="386"/>
      <c r="F108" s="386"/>
      <c r="G108" s="420"/>
      <c r="H108" s="386"/>
      <c r="I108" s="386"/>
      <c r="J108" s="386">
        <f t="shared" ref="J108:J115" si="29">F108*$J$19</f>
        <v>0</v>
      </c>
      <c r="K108" s="386">
        <f t="shared" ref="K108:K115" si="30">(F108+H108+I108+J108)*$K$19</f>
        <v>0</v>
      </c>
      <c r="L108" s="386"/>
      <c r="M108" s="405"/>
      <c r="N108" s="405"/>
      <c r="O108" s="405"/>
      <c r="P108" s="279"/>
    </row>
    <row r="109" spans="1:85" s="32" customFormat="1" ht="15" customHeight="1">
      <c r="A109" s="384" t="s">
        <v>291</v>
      </c>
      <c r="B109" s="486"/>
      <c r="C109" s="243"/>
      <c r="D109" s="243"/>
      <c r="E109" s="246"/>
      <c r="F109" s="246"/>
      <c r="G109" s="245"/>
      <c r="H109" s="246"/>
      <c r="I109" s="246"/>
      <c r="J109" s="246">
        <f t="shared" si="29"/>
        <v>0</v>
      </c>
      <c r="K109" s="246">
        <f t="shared" si="30"/>
        <v>0</v>
      </c>
      <c r="L109" s="246"/>
      <c r="M109" s="265"/>
      <c r="N109" s="265"/>
      <c r="O109" s="265"/>
      <c r="P109" s="231"/>
    </row>
    <row r="110" spans="1:85" s="389" customFormat="1" ht="15" customHeight="1">
      <c r="A110" s="429">
        <v>2561</v>
      </c>
      <c r="B110" s="487" t="s">
        <v>285</v>
      </c>
      <c r="C110" s="466" t="s">
        <v>289</v>
      </c>
      <c r="D110" s="417" t="s">
        <v>290</v>
      </c>
      <c r="E110" s="418">
        <v>93.35</v>
      </c>
      <c r="F110" s="418">
        <v>93.35</v>
      </c>
      <c r="G110" s="419" t="s">
        <v>37</v>
      </c>
      <c r="H110" s="225">
        <f t="shared" ref="H110:H115" si="31">IF($G110="P",$F110*$H$19,IF($G110="A",$H$19*$F110,IF($G110="L",0%*$F110)))</f>
        <v>6.5345000000000004</v>
      </c>
      <c r="I110" s="225">
        <f t="shared" ref="I110:I115" si="32">$F110*$I$19</f>
        <v>1.867</v>
      </c>
      <c r="J110" s="225">
        <f t="shared" si="29"/>
        <v>0.9335</v>
      </c>
      <c r="K110" s="228">
        <f t="shared" si="30"/>
        <v>14.3759</v>
      </c>
      <c r="L110" s="229">
        <f t="shared" si="24"/>
        <v>117.06089999999999</v>
      </c>
      <c r="M110" s="230">
        <f t="shared" si="28"/>
        <v>92.052434999999974</v>
      </c>
      <c r="N110" s="230">
        <f t="shared" si="28"/>
        <v>81.410534999999982</v>
      </c>
      <c r="O110" s="230">
        <f t="shared" si="28"/>
        <v>73.961204999999993</v>
      </c>
      <c r="P110" s="231">
        <f t="shared" si="28"/>
        <v>65.447684999999993</v>
      </c>
      <c r="Q110" s="427"/>
      <c r="R110" s="427"/>
      <c r="S110" s="427"/>
      <c r="T110" s="427"/>
      <c r="U110" s="427"/>
      <c r="V110" s="427"/>
      <c r="W110" s="427"/>
      <c r="X110" s="427"/>
      <c r="Y110" s="427"/>
      <c r="Z110" s="427"/>
      <c r="AA110" s="427"/>
      <c r="AB110" s="427"/>
      <c r="AC110" s="427"/>
      <c r="AD110" s="427"/>
      <c r="AE110" s="427"/>
      <c r="AF110" s="427"/>
      <c r="AG110" s="427"/>
      <c r="AH110" s="427"/>
      <c r="AI110" s="427"/>
      <c r="AJ110" s="427"/>
      <c r="AK110" s="427"/>
      <c r="AL110" s="427"/>
      <c r="AM110" s="427"/>
      <c r="AN110" s="427"/>
      <c r="AO110" s="427"/>
      <c r="AP110" s="427"/>
      <c r="AQ110" s="427"/>
      <c r="AR110" s="427"/>
      <c r="AS110" s="427"/>
      <c r="AT110" s="427"/>
      <c r="AU110" s="427"/>
      <c r="AV110" s="427"/>
      <c r="AW110" s="427"/>
      <c r="AX110" s="427"/>
      <c r="AY110" s="427"/>
      <c r="AZ110" s="427"/>
      <c r="BA110" s="427"/>
      <c r="BB110" s="427"/>
      <c r="BC110" s="427"/>
      <c r="BD110" s="427"/>
      <c r="BE110" s="427"/>
      <c r="BF110" s="427"/>
      <c r="BG110" s="427"/>
      <c r="BH110" s="427"/>
      <c r="BI110" s="427"/>
      <c r="BJ110" s="427"/>
      <c r="BK110" s="427"/>
      <c r="BL110" s="427"/>
      <c r="BM110" s="427"/>
      <c r="BN110" s="427"/>
      <c r="BO110" s="427"/>
      <c r="BP110" s="427"/>
      <c r="BQ110" s="427"/>
      <c r="BR110" s="427"/>
      <c r="BS110" s="427"/>
      <c r="BT110" s="427"/>
      <c r="BU110" s="427"/>
      <c r="BV110" s="427"/>
      <c r="BW110" s="427"/>
      <c r="BX110" s="427"/>
      <c r="BY110" s="427"/>
      <c r="BZ110" s="427"/>
      <c r="CA110" s="427"/>
      <c r="CB110" s="427"/>
      <c r="CC110" s="427"/>
      <c r="CD110" s="427"/>
      <c r="CE110" s="427"/>
      <c r="CF110" s="427"/>
      <c r="CG110" s="427"/>
    </row>
    <row r="111" spans="1:85" s="389" customFormat="1" ht="15" customHeight="1">
      <c r="A111" s="429">
        <v>2562</v>
      </c>
      <c r="B111" s="487" t="s">
        <v>58</v>
      </c>
      <c r="C111" s="467" t="s">
        <v>289</v>
      </c>
      <c r="D111" s="387" t="s">
        <v>290</v>
      </c>
      <c r="E111" s="316">
        <v>92.77</v>
      </c>
      <c r="F111" s="316">
        <v>92.77</v>
      </c>
      <c r="G111" s="388" t="s">
        <v>37</v>
      </c>
      <c r="H111" s="209">
        <f t="shared" si="31"/>
        <v>6.4939</v>
      </c>
      <c r="I111" s="209">
        <f t="shared" si="32"/>
        <v>1.8553999999999999</v>
      </c>
      <c r="J111" s="209">
        <f t="shared" si="29"/>
        <v>0.92769999999999997</v>
      </c>
      <c r="K111" s="218">
        <f t="shared" si="30"/>
        <v>14.286580000000001</v>
      </c>
      <c r="L111" s="219">
        <f t="shared" si="24"/>
        <v>116.33358</v>
      </c>
      <c r="M111" s="181">
        <f t="shared" si="28"/>
        <v>91.480496999999986</v>
      </c>
      <c r="N111" s="181">
        <f t="shared" si="28"/>
        <v>80.904716999999991</v>
      </c>
      <c r="O111" s="181">
        <f t="shared" si="28"/>
        <v>73.501670999999988</v>
      </c>
      <c r="P111" s="210">
        <f t="shared" si="28"/>
        <v>65.041046999999992</v>
      </c>
      <c r="Q111" s="427"/>
      <c r="R111" s="427"/>
      <c r="S111" s="427"/>
      <c r="T111" s="427"/>
      <c r="U111" s="427"/>
      <c r="V111" s="427"/>
      <c r="W111" s="427"/>
      <c r="X111" s="427"/>
      <c r="Y111" s="427"/>
      <c r="Z111" s="427"/>
      <c r="AA111" s="427"/>
      <c r="AB111" s="427"/>
      <c r="AC111" s="427"/>
      <c r="AD111" s="427"/>
      <c r="AE111" s="427"/>
      <c r="AF111" s="427"/>
      <c r="AG111" s="427"/>
      <c r="AH111" s="427"/>
      <c r="AI111" s="427"/>
      <c r="AJ111" s="427"/>
      <c r="AK111" s="427"/>
      <c r="AL111" s="427"/>
      <c r="AM111" s="427"/>
      <c r="AN111" s="427"/>
      <c r="AO111" s="427"/>
      <c r="AP111" s="427"/>
      <c r="AQ111" s="427"/>
      <c r="AR111" s="427"/>
      <c r="AS111" s="427"/>
      <c r="AT111" s="427"/>
      <c r="AU111" s="427"/>
      <c r="AV111" s="427"/>
      <c r="AW111" s="427"/>
      <c r="AX111" s="427"/>
      <c r="AY111" s="427"/>
      <c r="AZ111" s="427"/>
      <c r="BA111" s="427"/>
      <c r="BB111" s="427"/>
      <c r="BC111" s="427"/>
      <c r="BD111" s="427"/>
      <c r="BE111" s="427"/>
      <c r="BF111" s="427"/>
      <c r="BG111" s="427"/>
      <c r="BH111" s="427"/>
      <c r="BI111" s="427"/>
      <c r="BJ111" s="427"/>
      <c r="BK111" s="427"/>
      <c r="BL111" s="427"/>
      <c r="BM111" s="427"/>
      <c r="BN111" s="427"/>
      <c r="BO111" s="427"/>
      <c r="BP111" s="427"/>
      <c r="BQ111" s="427"/>
      <c r="BR111" s="427"/>
      <c r="BS111" s="427"/>
      <c r="BT111" s="427"/>
      <c r="BU111" s="427"/>
      <c r="BV111" s="427"/>
      <c r="BW111" s="427"/>
      <c r="BX111" s="427"/>
      <c r="BY111" s="427"/>
      <c r="BZ111" s="427"/>
      <c r="CA111" s="427"/>
      <c r="CB111" s="427"/>
      <c r="CC111" s="427"/>
      <c r="CD111" s="427"/>
      <c r="CE111" s="427"/>
      <c r="CF111" s="427"/>
      <c r="CG111" s="427"/>
    </row>
    <row r="112" spans="1:85" s="389" customFormat="1" ht="15" customHeight="1">
      <c r="A112" s="429">
        <v>2563</v>
      </c>
      <c r="B112" s="487" t="s">
        <v>286</v>
      </c>
      <c r="C112" s="467" t="s">
        <v>289</v>
      </c>
      <c r="D112" s="387" t="s">
        <v>290</v>
      </c>
      <c r="E112" s="316">
        <v>92.77</v>
      </c>
      <c r="F112" s="316">
        <v>92.77</v>
      </c>
      <c r="G112" s="388" t="s">
        <v>37</v>
      </c>
      <c r="H112" s="209">
        <f t="shared" si="31"/>
        <v>6.4939</v>
      </c>
      <c r="I112" s="209">
        <f t="shared" si="32"/>
        <v>1.8553999999999999</v>
      </c>
      <c r="J112" s="209">
        <f t="shared" si="29"/>
        <v>0.92769999999999997</v>
      </c>
      <c r="K112" s="218">
        <f t="shared" si="30"/>
        <v>14.286580000000001</v>
      </c>
      <c r="L112" s="219">
        <f t="shared" si="24"/>
        <v>116.33358</v>
      </c>
      <c r="M112" s="181">
        <f t="shared" si="28"/>
        <v>91.480496999999986</v>
      </c>
      <c r="N112" s="181">
        <f t="shared" si="28"/>
        <v>80.904716999999991</v>
      </c>
      <c r="O112" s="181">
        <f t="shared" si="28"/>
        <v>73.501670999999988</v>
      </c>
      <c r="P112" s="210">
        <f t="shared" si="28"/>
        <v>65.041046999999992</v>
      </c>
      <c r="Q112" s="427"/>
      <c r="R112" s="427"/>
      <c r="S112" s="427"/>
      <c r="T112" s="427"/>
      <c r="U112" s="427"/>
      <c r="V112" s="427"/>
      <c r="W112" s="427"/>
      <c r="X112" s="427"/>
      <c r="Y112" s="427"/>
      <c r="Z112" s="427"/>
      <c r="AA112" s="427"/>
      <c r="AB112" s="427"/>
      <c r="AC112" s="427"/>
      <c r="AD112" s="427"/>
      <c r="AE112" s="427"/>
      <c r="AF112" s="427"/>
      <c r="AG112" s="427"/>
      <c r="AH112" s="427"/>
      <c r="AI112" s="427"/>
      <c r="AJ112" s="427"/>
      <c r="AK112" s="427"/>
      <c r="AL112" s="427"/>
      <c r="AM112" s="427"/>
      <c r="AN112" s="427"/>
      <c r="AO112" s="427"/>
      <c r="AP112" s="427"/>
      <c r="AQ112" s="427"/>
      <c r="AR112" s="427"/>
      <c r="AS112" s="427"/>
      <c r="AT112" s="427"/>
      <c r="AU112" s="427"/>
      <c r="AV112" s="427"/>
      <c r="AW112" s="427"/>
      <c r="AX112" s="427"/>
      <c r="AY112" s="427"/>
      <c r="AZ112" s="427"/>
      <c r="BA112" s="427"/>
      <c r="BB112" s="427"/>
      <c r="BC112" s="427"/>
      <c r="BD112" s="427"/>
      <c r="BE112" s="427"/>
      <c r="BF112" s="427"/>
      <c r="BG112" s="427"/>
      <c r="BH112" s="427"/>
      <c r="BI112" s="427"/>
      <c r="BJ112" s="427"/>
      <c r="BK112" s="427"/>
      <c r="BL112" s="427"/>
      <c r="BM112" s="427"/>
      <c r="BN112" s="427"/>
      <c r="BO112" s="427"/>
      <c r="BP112" s="427"/>
      <c r="BQ112" s="427"/>
      <c r="BR112" s="427"/>
      <c r="BS112" s="427"/>
      <c r="BT112" s="427"/>
      <c r="BU112" s="427"/>
      <c r="BV112" s="427"/>
      <c r="BW112" s="427"/>
      <c r="BX112" s="427"/>
      <c r="BY112" s="427"/>
      <c r="BZ112" s="427"/>
      <c r="CA112" s="427"/>
      <c r="CB112" s="427"/>
      <c r="CC112" s="427"/>
      <c r="CD112" s="427"/>
      <c r="CE112" s="427"/>
      <c r="CF112" s="427"/>
      <c r="CG112" s="427"/>
    </row>
    <row r="113" spans="1:85" s="389" customFormat="1" ht="15" customHeight="1">
      <c r="A113" s="429">
        <v>2564</v>
      </c>
      <c r="B113" s="487" t="s">
        <v>287</v>
      </c>
      <c r="C113" s="467" t="s">
        <v>289</v>
      </c>
      <c r="D113" s="387" t="s">
        <v>290</v>
      </c>
      <c r="E113" s="316">
        <v>87.86</v>
      </c>
      <c r="F113" s="316">
        <v>87.86</v>
      </c>
      <c r="G113" s="388" t="s">
        <v>37</v>
      </c>
      <c r="H113" s="209">
        <f t="shared" si="31"/>
        <v>6.1502000000000008</v>
      </c>
      <c r="I113" s="209">
        <f t="shared" si="32"/>
        <v>1.7572000000000001</v>
      </c>
      <c r="J113" s="209">
        <f t="shared" si="29"/>
        <v>0.87860000000000005</v>
      </c>
      <c r="K113" s="218">
        <f t="shared" si="30"/>
        <v>13.530440000000002</v>
      </c>
      <c r="L113" s="219">
        <f t="shared" si="24"/>
        <v>110.17644</v>
      </c>
      <c r="M113" s="181">
        <f t="shared" si="28"/>
        <v>86.638745999999998</v>
      </c>
      <c r="N113" s="181">
        <f t="shared" si="28"/>
        <v>76.622705999999994</v>
      </c>
      <c r="O113" s="181">
        <f t="shared" si="28"/>
        <v>69.611477999999991</v>
      </c>
      <c r="P113" s="210">
        <f t="shared" si="28"/>
        <v>61.598645999999988</v>
      </c>
      <c r="Q113" s="427"/>
      <c r="R113" s="427"/>
      <c r="S113" s="427"/>
      <c r="T113" s="427"/>
      <c r="U113" s="427"/>
      <c r="V113" s="427"/>
      <c r="W113" s="427"/>
      <c r="X113" s="427"/>
      <c r="Y113" s="427"/>
      <c r="Z113" s="427"/>
      <c r="AA113" s="427"/>
      <c r="AB113" s="427"/>
      <c r="AC113" s="427"/>
      <c r="AD113" s="427"/>
      <c r="AE113" s="427"/>
      <c r="AF113" s="427"/>
      <c r="AG113" s="427"/>
      <c r="AH113" s="427"/>
      <c r="AI113" s="427"/>
      <c r="AJ113" s="427"/>
      <c r="AK113" s="427"/>
      <c r="AL113" s="427"/>
      <c r="AM113" s="427"/>
      <c r="AN113" s="427"/>
      <c r="AO113" s="427"/>
      <c r="AP113" s="427"/>
      <c r="AQ113" s="427"/>
      <c r="AR113" s="427"/>
      <c r="AS113" s="427"/>
      <c r="AT113" s="427"/>
      <c r="AU113" s="427"/>
      <c r="AV113" s="427"/>
      <c r="AW113" s="427"/>
      <c r="AX113" s="427"/>
      <c r="AY113" s="427"/>
      <c r="AZ113" s="427"/>
      <c r="BA113" s="427"/>
      <c r="BB113" s="427"/>
      <c r="BC113" s="427"/>
      <c r="BD113" s="427"/>
      <c r="BE113" s="427"/>
      <c r="BF113" s="427"/>
      <c r="BG113" s="427"/>
      <c r="BH113" s="427"/>
      <c r="BI113" s="427"/>
      <c r="BJ113" s="427"/>
      <c r="BK113" s="427"/>
      <c r="BL113" s="427"/>
      <c r="BM113" s="427"/>
      <c r="BN113" s="427"/>
      <c r="BO113" s="427"/>
      <c r="BP113" s="427"/>
      <c r="BQ113" s="427"/>
      <c r="BR113" s="427"/>
      <c r="BS113" s="427"/>
      <c r="BT113" s="427"/>
      <c r="BU113" s="427"/>
      <c r="BV113" s="427"/>
      <c r="BW113" s="427"/>
      <c r="BX113" s="427"/>
      <c r="BY113" s="427"/>
      <c r="BZ113" s="427"/>
      <c r="CA113" s="427"/>
      <c r="CB113" s="427"/>
      <c r="CC113" s="427"/>
      <c r="CD113" s="427"/>
      <c r="CE113" s="427"/>
      <c r="CF113" s="427"/>
      <c r="CG113" s="427"/>
    </row>
    <row r="114" spans="1:85" s="389" customFormat="1" ht="15" customHeight="1">
      <c r="A114" s="429">
        <v>2565</v>
      </c>
      <c r="B114" s="487" t="s">
        <v>288</v>
      </c>
      <c r="C114" s="467" t="s">
        <v>289</v>
      </c>
      <c r="D114" s="387" t="s">
        <v>290</v>
      </c>
      <c r="E114" s="316">
        <v>87.86</v>
      </c>
      <c r="F114" s="316">
        <v>87.86</v>
      </c>
      <c r="G114" s="388" t="s">
        <v>37</v>
      </c>
      <c r="H114" s="209">
        <f t="shared" si="31"/>
        <v>6.1502000000000008</v>
      </c>
      <c r="I114" s="209">
        <f t="shared" si="32"/>
        <v>1.7572000000000001</v>
      </c>
      <c r="J114" s="209">
        <f t="shared" si="29"/>
        <v>0.87860000000000005</v>
      </c>
      <c r="K114" s="218">
        <f t="shared" si="30"/>
        <v>13.530440000000002</v>
      </c>
      <c r="L114" s="219">
        <f t="shared" si="24"/>
        <v>110.17644</v>
      </c>
      <c r="M114" s="181">
        <f t="shared" si="28"/>
        <v>86.638745999999998</v>
      </c>
      <c r="N114" s="181">
        <f t="shared" si="28"/>
        <v>76.622705999999994</v>
      </c>
      <c r="O114" s="181">
        <f t="shared" si="28"/>
        <v>69.611477999999991</v>
      </c>
      <c r="P114" s="210">
        <f t="shared" si="28"/>
        <v>61.598645999999988</v>
      </c>
      <c r="Q114" s="427"/>
      <c r="R114" s="427"/>
      <c r="S114" s="427"/>
      <c r="T114" s="427"/>
      <c r="U114" s="427"/>
      <c r="V114" s="427"/>
      <c r="W114" s="427"/>
      <c r="X114" s="427"/>
      <c r="Y114" s="427"/>
      <c r="Z114" s="427"/>
      <c r="AA114" s="427"/>
      <c r="AB114" s="427"/>
      <c r="AC114" s="427"/>
      <c r="AD114" s="427"/>
      <c r="AE114" s="427"/>
      <c r="AF114" s="427"/>
      <c r="AG114" s="427"/>
      <c r="AH114" s="427"/>
      <c r="AI114" s="427"/>
      <c r="AJ114" s="427"/>
      <c r="AK114" s="427"/>
      <c r="AL114" s="427"/>
      <c r="AM114" s="427"/>
      <c r="AN114" s="427"/>
      <c r="AO114" s="427"/>
      <c r="AP114" s="427"/>
      <c r="AQ114" s="427"/>
      <c r="AR114" s="427"/>
      <c r="AS114" s="427"/>
      <c r="AT114" s="427"/>
      <c r="AU114" s="427"/>
      <c r="AV114" s="427"/>
      <c r="AW114" s="427"/>
      <c r="AX114" s="427"/>
      <c r="AY114" s="427"/>
      <c r="AZ114" s="427"/>
      <c r="BA114" s="427"/>
      <c r="BB114" s="427"/>
      <c r="BC114" s="427"/>
      <c r="BD114" s="427"/>
      <c r="BE114" s="427"/>
      <c r="BF114" s="427"/>
      <c r="BG114" s="427"/>
      <c r="BH114" s="427"/>
      <c r="BI114" s="427"/>
      <c r="BJ114" s="427"/>
      <c r="BK114" s="427"/>
      <c r="BL114" s="427"/>
      <c r="BM114" s="427"/>
      <c r="BN114" s="427"/>
      <c r="BO114" s="427"/>
      <c r="BP114" s="427"/>
      <c r="BQ114" s="427"/>
      <c r="BR114" s="427"/>
      <c r="BS114" s="427"/>
      <c r="BT114" s="427"/>
      <c r="BU114" s="427"/>
      <c r="BV114" s="427"/>
      <c r="BW114" s="427"/>
      <c r="BX114" s="427"/>
      <c r="BY114" s="427"/>
      <c r="BZ114" s="427"/>
      <c r="CA114" s="427"/>
      <c r="CB114" s="427"/>
      <c r="CC114" s="427"/>
      <c r="CD114" s="427"/>
      <c r="CE114" s="427"/>
      <c r="CF114" s="427"/>
      <c r="CG114" s="427"/>
    </row>
    <row r="115" spans="1:85" s="389" customFormat="1" ht="15" customHeight="1">
      <c r="A115" s="429">
        <v>2566</v>
      </c>
      <c r="B115" s="487" t="s">
        <v>125</v>
      </c>
      <c r="C115" s="467" t="s">
        <v>289</v>
      </c>
      <c r="D115" s="387" t="s">
        <v>300</v>
      </c>
      <c r="E115" s="316">
        <v>62.62</v>
      </c>
      <c r="F115" s="316">
        <v>62.62</v>
      </c>
      <c r="G115" s="388" t="s">
        <v>37</v>
      </c>
      <c r="H115" s="209">
        <f t="shared" si="31"/>
        <v>4.3834</v>
      </c>
      <c r="I115" s="209">
        <f t="shared" si="32"/>
        <v>1.2524</v>
      </c>
      <c r="J115" s="209">
        <f t="shared" si="29"/>
        <v>0.62619999999999998</v>
      </c>
      <c r="K115" s="218">
        <f t="shared" si="30"/>
        <v>9.6434800000000003</v>
      </c>
      <c r="L115" s="219">
        <f t="shared" si="24"/>
        <v>78.525479999999988</v>
      </c>
      <c r="M115" s="181">
        <f t="shared" si="28"/>
        <v>61.74958199999999</v>
      </c>
      <c r="N115" s="181">
        <f t="shared" si="28"/>
        <v>54.610901999999996</v>
      </c>
      <c r="O115" s="181">
        <f t="shared" si="28"/>
        <v>49.613825999999996</v>
      </c>
      <c r="P115" s="210">
        <f t="shared" si="28"/>
        <v>43.902881999999984</v>
      </c>
      <c r="Q115" s="427"/>
      <c r="R115" s="427"/>
      <c r="S115" s="427"/>
      <c r="T115" s="427"/>
      <c r="U115" s="427"/>
      <c r="V115" s="427"/>
      <c r="W115" s="427"/>
      <c r="X115" s="427"/>
      <c r="Y115" s="427"/>
      <c r="Z115" s="427"/>
      <c r="AA115" s="427"/>
      <c r="AB115" s="427"/>
      <c r="AC115" s="427"/>
      <c r="AD115" s="427"/>
      <c r="AE115" s="427"/>
      <c r="AF115" s="427"/>
      <c r="AG115" s="427"/>
      <c r="AH115" s="427"/>
      <c r="AI115" s="427"/>
      <c r="AJ115" s="427"/>
      <c r="AK115" s="427"/>
      <c r="AL115" s="427"/>
      <c r="AM115" s="427"/>
      <c r="AN115" s="427"/>
      <c r="AO115" s="427"/>
      <c r="AP115" s="427"/>
      <c r="AQ115" s="427"/>
      <c r="AR115" s="427"/>
      <c r="AS115" s="427"/>
      <c r="AT115" s="427"/>
      <c r="AU115" s="427"/>
      <c r="AV115" s="427"/>
      <c r="AW115" s="427"/>
      <c r="AX115" s="427"/>
      <c r="AY115" s="427"/>
      <c r="AZ115" s="427"/>
      <c r="BA115" s="427"/>
      <c r="BB115" s="427"/>
      <c r="BC115" s="427"/>
      <c r="BD115" s="427"/>
      <c r="BE115" s="427"/>
      <c r="BF115" s="427"/>
      <c r="BG115" s="427"/>
      <c r="BH115" s="427"/>
      <c r="BI115" s="427"/>
      <c r="BJ115" s="427"/>
      <c r="BK115" s="427"/>
      <c r="BL115" s="427"/>
      <c r="BM115" s="427"/>
      <c r="BN115" s="427"/>
      <c r="BO115" s="427"/>
      <c r="BP115" s="427"/>
      <c r="BQ115" s="427"/>
      <c r="BR115" s="427"/>
      <c r="BS115" s="427"/>
      <c r="BT115" s="427"/>
      <c r="BU115" s="427"/>
      <c r="BV115" s="427"/>
      <c r="BW115" s="427"/>
      <c r="BX115" s="427"/>
      <c r="BY115" s="427"/>
      <c r="BZ115" s="427"/>
      <c r="CA115" s="427"/>
      <c r="CB115" s="427"/>
      <c r="CC115" s="427"/>
      <c r="CD115" s="427"/>
      <c r="CE115" s="427"/>
      <c r="CF115" s="427"/>
      <c r="CG115" s="427"/>
    </row>
    <row r="116" spans="1:85" s="35" customFormat="1" ht="15" customHeight="1">
      <c r="A116" s="355" t="s">
        <v>307</v>
      </c>
      <c r="B116" s="488"/>
      <c r="C116" s="243"/>
      <c r="D116" s="243"/>
      <c r="E116" s="246"/>
      <c r="F116" s="246"/>
      <c r="G116" s="264"/>
      <c r="H116" s="264"/>
      <c r="I116" s="264"/>
      <c r="J116" s="246"/>
      <c r="K116" s="264"/>
      <c r="L116" s="246"/>
      <c r="M116" s="265"/>
      <c r="N116" s="265"/>
      <c r="O116" s="265"/>
      <c r="P116" s="231"/>
    </row>
    <row r="117" spans="1:85" s="26" customFormat="1" ht="15" customHeight="1">
      <c r="A117" s="183">
        <v>452</v>
      </c>
      <c r="B117" s="489" t="s">
        <v>308</v>
      </c>
      <c r="C117" s="468">
        <v>1</v>
      </c>
      <c r="D117" s="176">
        <v>5.95</v>
      </c>
      <c r="E117" s="209">
        <v>62.62</v>
      </c>
      <c r="F117" s="221">
        <v>62.62</v>
      </c>
      <c r="G117" s="217" t="s">
        <v>37</v>
      </c>
      <c r="H117" s="209">
        <f t="shared" ref="H117:H125" si="33">IF($G117="P",$F117*$H$19,IF($G117="A",$H$19*$F117,IF($G117="L",0%*$F117)))</f>
        <v>4.3834</v>
      </c>
      <c r="I117" s="209">
        <f t="shared" ref="I117:I125" si="34">$F117*$I$19</f>
        <v>1.2524</v>
      </c>
      <c r="J117" s="209">
        <f>F117*$J$19</f>
        <v>0.62619999999999998</v>
      </c>
      <c r="K117" s="218">
        <f>(F117+H117+I117+J117)*$K$19</f>
        <v>9.6434800000000003</v>
      </c>
      <c r="L117" s="219">
        <f>SUM(F117:K117)</f>
        <v>78.525479999999988</v>
      </c>
      <c r="M117" s="181">
        <f t="shared" ref="M117:P120" si="35">(($F117-($F117*M$19)+$H117+3.5%*$F117+$J117))*1.14</f>
        <v>61.74958199999999</v>
      </c>
      <c r="N117" s="181">
        <f t="shared" si="35"/>
        <v>54.610901999999996</v>
      </c>
      <c r="O117" s="181">
        <f t="shared" si="35"/>
        <v>49.613825999999996</v>
      </c>
      <c r="P117" s="210">
        <f t="shared" si="35"/>
        <v>43.902881999999984</v>
      </c>
    </row>
    <row r="118" spans="1:85" s="35" customFormat="1" ht="15" customHeight="1">
      <c r="A118" s="183">
        <v>458</v>
      </c>
      <c r="B118" s="489" t="s">
        <v>108</v>
      </c>
      <c r="C118" s="461">
        <v>1</v>
      </c>
      <c r="D118" s="176">
        <v>8.85</v>
      </c>
      <c r="E118" s="209">
        <v>91.52</v>
      </c>
      <c r="F118" s="221">
        <v>91.52</v>
      </c>
      <c r="G118" s="217" t="s">
        <v>37</v>
      </c>
      <c r="H118" s="209">
        <f t="shared" si="33"/>
        <v>6.4064000000000005</v>
      </c>
      <c r="I118" s="209">
        <f t="shared" si="34"/>
        <v>1.8304</v>
      </c>
      <c r="J118" s="209">
        <f>F118*$J$19</f>
        <v>0.91520000000000001</v>
      </c>
      <c r="K118" s="218">
        <f>(F118+H118+I118+J118)*$K$19</f>
        <v>14.094080000000002</v>
      </c>
      <c r="L118" s="219">
        <f>SUM(F118:K118)</f>
        <v>114.76608</v>
      </c>
      <c r="M118" s="181">
        <f t="shared" si="35"/>
        <v>90.247871999999987</v>
      </c>
      <c r="N118" s="181">
        <f t="shared" si="35"/>
        <v>79.81459199999999</v>
      </c>
      <c r="O118" s="181">
        <f t="shared" si="35"/>
        <v>72.511296000000002</v>
      </c>
      <c r="P118" s="210">
        <f t="shared" si="35"/>
        <v>64.164671999999996</v>
      </c>
    </row>
    <row r="119" spans="1:85" s="35" customFormat="1" ht="15" customHeight="1">
      <c r="A119" s="183">
        <v>459</v>
      </c>
      <c r="B119" s="489" t="s">
        <v>309</v>
      </c>
      <c r="C119" s="468">
        <v>1</v>
      </c>
      <c r="D119" s="176">
        <v>8.85</v>
      </c>
      <c r="E119" s="209">
        <v>91.52</v>
      </c>
      <c r="F119" s="221">
        <v>91.52</v>
      </c>
      <c r="G119" s="217" t="s">
        <v>37</v>
      </c>
      <c r="H119" s="209">
        <f t="shared" si="33"/>
        <v>6.4064000000000005</v>
      </c>
      <c r="I119" s="209">
        <f t="shared" si="34"/>
        <v>1.8304</v>
      </c>
      <c r="J119" s="209">
        <f t="shared" ref="J119:J125" si="36">F119*$J$19</f>
        <v>0.91520000000000001</v>
      </c>
      <c r="K119" s="218">
        <f t="shared" ref="K119:K125" si="37">(F119+H119+I119+J119)*$K$19</f>
        <v>14.094080000000002</v>
      </c>
      <c r="L119" s="219">
        <f>SUM(F119:K119)</f>
        <v>114.76608</v>
      </c>
      <c r="M119" s="181">
        <f t="shared" si="35"/>
        <v>90.247871999999987</v>
      </c>
      <c r="N119" s="181">
        <f t="shared" si="35"/>
        <v>79.81459199999999</v>
      </c>
      <c r="O119" s="181">
        <f t="shared" si="35"/>
        <v>72.511296000000002</v>
      </c>
      <c r="P119" s="210">
        <f t="shared" si="35"/>
        <v>64.164671999999996</v>
      </c>
    </row>
    <row r="120" spans="1:85" s="35" customFormat="1" ht="15" customHeight="1">
      <c r="A120" s="428">
        <v>730</v>
      </c>
      <c r="B120" s="490" t="s">
        <v>302</v>
      </c>
      <c r="C120" s="461">
        <v>1</v>
      </c>
      <c r="D120" s="176">
        <v>23</v>
      </c>
      <c r="E120" s="209">
        <v>270.33</v>
      </c>
      <c r="F120" s="221">
        <v>270.33</v>
      </c>
      <c r="G120" s="217" t="s">
        <v>37</v>
      </c>
      <c r="H120" s="209">
        <f t="shared" si="33"/>
        <v>18.923100000000002</v>
      </c>
      <c r="I120" s="209">
        <f t="shared" si="34"/>
        <v>5.4066000000000001</v>
      </c>
      <c r="J120" s="209">
        <f t="shared" si="36"/>
        <v>2.7033</v>
      </c>
      <c r="K120" s="218">
        <f t="shared" si="37"/>
        <v>41.630820000000007</v>
      </c>
      <c r="L120" s="219">
        <f t="shared" ref="L120:L125" si="38">SUM(F120:K120)</f>
        <v>338.99382000000003</v>
      </c>
      <c r="M120" s="181">
        <f t="shared" si="35"/>
        <v>266.57241299999998</v>
      </c>
      <c r="N120" s="181">
        <f t="shared" si="35"/>
        <v>235.75479299999998</v>
      </c>
      <c r="O120" s="181">
        <f t="shared" si="35"/>
        <v>214.18245899999999</v>
      </c>
      <c r="P120" s="210">
        <f t="shared" si="35"/>
        <v>189.52836299999998</v>
      </c>
    </row>
    <row r="121" spans="1:85" s="35" customFormat="1" ht="15" customHeight="1">
      <c r="A121" s="428">
        <v>736</v>
      </c>
      <c r="B121" s="490" t="s">
        <v>304</v>
      </c>
      <c r="C121" s="461">
        <v>1</v>
      </c>
      <c r="D121" s="176">
        <v>27.6</v>
      </c>
      <c r="E121" s="209">
        <v>313.66000000000003</v>
      </c>
      <c r="F121" s="221">
        <v>313.66000000000003</v>
      </c>
      <c r="G121" s="217" t="s">
        <v>37</v>
      </c>
      <c r="H121" s="209">
        <f t="shared" si="33"/>
        <v>21.956200000000003</v>
      </c>
      <c r="I121" s="209">
        <f t="shared" si="34"/>
        <v>6.273200000000001</v>
      </c>
      <c r="J121" s="209">
        <f t="shared" si="36"/>
        <v>3.1366000000000005</v>
      </c>
      <c r="K121" s="218">
        <f t="shared" si="37"/>
        <v>48.303640000000009</v>
      </c>
      <c r="L121" s="219">
        <f t="shared" si="38"/>
        <v>393.32964000000004</v>
      </c>
      <c r="M121" s="181">
        <f t="shared" ref="M121:P125" si="39">(($F121-($F121*M$19)+$H121+3.5%*$F121+$J121))*1.14</f>
        <v>309.30012599999998</v>
      </c>
      <c r="N121" s="181">
        <f t="shared" si="39"/>
        <v>273.54288600000001</v>
      </c>
      <c r="O121" s="181">
        <f t="shared" si="39"/>
        <v>248.51281800000001</v>
      </c>
      <c r="P121" s="210">
        <f t="shared" si="39"/>
        <v>219.907026</v>
      </c>
    </row>
    <row r="122" spans="1:85" s="35" customFormat="1" ht="15" customHeight="1">
      <c r="A122" s="428">
        <v>737</v>
      </c>
      <c r="B122" s="490" t="s">
        <v>303</v>
      </c>
      <c r="C122" s="461">
        <v>1</v>
      </c>
      <c r="D122" s="176">
        <v>27.6</v>
      </c>
      <c r="E122" s="209">
        <v>313.66000000000003</v>
      </c>
      <c r="F122" s="221">
        <v>313.66000000000003</v>
      </c>
      <c r="G122" s="217" t="s">
        <v>37</v>
      </c>
      <c r="H122" s="209">
        <f t="shared" si="33"/>
        <v>21.956200000000003</v>
      </c>
      <c r="I122" s="209">
        <f t="shared" si="34"/>
        <v>6.273200000000001</v>
      </c>
      <c r="J122" s="209">
        <f t="shared" si="36"/>
        <v>3.1366000000000005</v>
      </c>
      <c r="K122" s="218">
        <f t="shared" si="37"/>
        <v>48.303640000000009</v>
      </c>
      <c r="L122" s="219">
        <f t="shared" si="38"/>
        <v>393.32964000000004</v>
      </c>
      <c r="M122" s="181">
        <f t="shared" si="39"/>
        <v>309.30012599999998</v>
      </c>
      <c r="N122" s="181">
        <f t="shared" si="39"/>
        <v>273.54288600000001</v>
      </c>
      <c r="O122" s="181">
        <f t="shared" si="39"/>
        <v>248.51281800000001</v>
      </c>
      <c r="P122" s="210">
        <f t="shared" si="39"/>
        <v>219.907026</v>
      </c>
    </row>
    <row r="123" spans="1:85" s="35" customFormat="1" ht="15" customHeight="1">
      <c r="A123" s="428">
        <v>738</v>
      </c>
      <c r="B123" s="490" t="s">
        <v>305</v>
      </c>
      <c r="C123" s="461">
        <v>1</v>
      </c>
      <c r="D123" s="176">
        <v>27.6</v>
      </c>
      <c r="E123" s="209">
        <v>333.07</v>
      </c>
      <c r="F123" s="221">
        <v>333.07</v>
      </c>
      <c r="G123" s="217" t="s">
        <v>37</v>
      </c>
      <c r="H123" s="209">
        <f t="shared" si="33"/>
        <v>23.314900000000002</v>
      </c>
      <c r="I123" s="209">
        <f t="shared" si="34"/>
        <v>6.6614000000000004</v>
      </c>
      <c r="J123" s="209">
        <f t="shared" si="36"/>
        <v>3.3307000000000002</v>
      </c>
      <c r="K123" s="218">
        <f t="shared" si="37"/>
        <v>51.292780000000008</v>
      </c>
      <c r="L123" s="219">
        <f t="shared" si="38"/>
        <v>417.66978</v>
      </c>
      <c r="M123" s="181">
        <f t="shared" si="39"/>
        <v>328.44032699999997</v>
      </c>
      <c r="N123" s="181">
        <f t="shared" si="39"/>
        <v>290.470347</v>
      </c>
      <c r="O123" s="181">
        <f t="shared" si="39"/>
        <v>263.89136100000002</v>
      </c>
      <c r="P123" s="210">
        <f t="shared" si="39"/>
        <v>233.515377</v>
      </c>
    </row>
    <row r="124" spans="1:85" s="35" customFormat="1" ht="15" customHeight="1">
      <c r="A124" s="428">
        <v>739</v>
      </c>
      <c r="B124" s="490" t="s">
        <v>311</v>
      </c>
      <c r="C124" s="461">
        <v>1</v>
      </c>
      <c r="D124" s="176">
        <v>27.6</v>
      </c>
      <c r="E124" s="209">
        <v>330.81</v>
      </c>
      <c r="F124" s="221">
        <v>330.81</v>
      </c>
      <c r="G124" s="217" t="s">
        <v>37</v>
      </c>
      <c r="H124" s="209">
        <f t="shared" si="33"/>
        <v>23.156700000000001</v>
      </c>
      <c r="I124" s="209">
        <f t="shared" si="34"/>
        <v>6.6162000000000001</v>
      </c>
      <c r="J124" s="209">
        <f t="shared" si="36"/>
        <v>3.3081</v>
      </c>
      <c r="K124" s="218">
        <f t="shared" si="37"/>
        <v>50.94474000000001</v>
      </c>
      <c r="L124" s="219">
        <f t="shared" si="38"/>
        <v>414.83574000000004</v>
      </c>
      <c r="M124" s="181">
        <f t="shared" si="39"/>
        <v>326.21174100000002</v>
      </c>
      <c r="N124" s="181">
        <f t="shared" si="39"/>
        <v>288.49940099999998</v>
      </c>
      <c r="O124" s="181">
        <f t="shared" si="39"/>
        <v>262.10076299999997</v>
      </c>
      <c r="P124" s="210">
        <f t="shared" si="39"/>
        <v>231.93089099999997</v>
      </c>
    </row>
    <row r="125" spans="1:85" s="35" customFormat="1" ht="15" customHeight="1">
      <c r="A125" s="428">
        <v>740</v>
      </c>
      <c r="B125" s="490" t="s">
        <v>306</v>
      </c>
      <c r="C125" s="461">
        <v>1</v>
      </c>
      <c r="D125" s="176">
        <v>27.6</v>
      </c>
      <c r="E125" s="209">
        <v>330.81</v>
      </c>
      <c r="F125" s="221">
        <v>330.81</v>
      </c>
      <c r="G125" s="217" t="s">
        <v>37</v>
      </c>
      <c r="H125" s="209">
        <f t="shared" si="33"/>
        <v>23.156700000000001</v>
      </c>
      <c r="I125" s="209">
        <f t="shared" si="34"/>
        <v>6.6162000000000001</v>
      </c>
      <c r="J125" s="209">
        <f t="shared" si="36"/>
        <v>3.3081</v>
      </c>
      <c r="K125" s="218">
        <f t="shared" si="37"/>
        <v>50.94474000000001</v>
      </c>
      <c r="L125" s="219">
        <f t="shared" si="38"/>
        <v>414.83574000000004</v>
      </c>
      <c r="M125" s="181">
        <f t="shared" si="39"/>
        <v>326.21174100000002</v>
      </c>
      <c r="N125" s="181">
        <f t="shared" si="39"/>
        <v>288.49940099999998</v>
      </c>
      <c r="O125" s="181">
        <f t="shared" si="39"/>
        <v>262.10076299999997</v>
      </c>
      <c r="P125" s="210">
        <f t="shared" si="39"/>
        <v>231.93089099999997</v>
      </c>
    </row>
    <row r="126" spans="1:85" s="32" customFormat="1" ht="15" customHeight="1">
      <c r="A126" s="358" t="s">
        <v>178</v>
      </c>
      <c r="B126" s="465"/>
      <c r="C126" s="201"/>
      <c r="D126" s="201"/>
      <c r="E126" s="213"/>
      <c r="F126" s="213"/>
      <c r="G126" s="215"/>
      <c r="H126" s="215"/>
      <c r="I126" s="215"/>
      <c r="J126" s="213"/>
      <c r="K126" s="215"/>
      <c r="L126" s="213"/>
      <c r="M126" s="214"/>
      <c r="N126" s="214"/>
      <c r="O126" s="214"/>
      <c r="P126" s="210"/>
    </row>
    <row r="127" spans="1:85" s="26" customFormat="1" ht="15" customHeight="1">
      <c r="A127" s="183">
        <v>343</v>
      </c>
      <c r="B127" s="489" t="s">
        <v>59</v>
      </c>
      <c r="C127" s="468">
        <v>1</v>
      </c>
      <c r="D127" s="176">
        <v>25</v>
      </c>
      <c r="E127" s="209">
        <v>225.93</v>
      </c>
      <c r="F127" s="221">
        <v>225.93</v>
      </c>
      <c r="G127" s="217" t="s">
        <v>37</v>
      </c>
      <c r="H127" s="209">
        <f>IF($G127="P",$F127*$H$19,IF($G127="A",$H$19*$F127,IF($G127="L",0%*$F127)))</f>
        <v>15.815100000000003</v>
      </c>
      <c r="I127" s="209">
        <f>$F127*$I$19</f>
        <v>4.5186000000000002</v>
      </c>
      <c r="J127" s="209">
        <f>F127*$J$19</f>
        <v>2.2593000000000001</v>
      </c>
      <c r="K127" s="218">
        <f>(F127+H127+I127+J127)*$K$19</f>
        <v>34.793220000000005</v>
      </c>
      <c r="L127" s="219">
        <f>SUM(F127:K127)</f>
        <v>283.31621999999999</v>
      </c>
      <c r="M127" s="181">
        <f t="shared" ref="M127:P130" si="40">(($F127-($F127*M$19)+$H127+3.5%*$F127+$J127))*1.14</f>
        <v>222.78957299999999</v>
      </c>
      <c r="N127" s="181">
        <f t="shared" si="40"/>
        <v>197.03355300000004</v>
      </c>
      <c r="O127" s="181">
        <f t="shared" si="40"/>
        <v>179.00433899999999</v>
      </c>
      <c r="P127" s="210">
        <f t="shared" si="40"/>
        <v>158.39952300000002</v>
      </c>
    </row>
    <row r="128" spans="1:85" s="26" customFormat="1" ht="15" customHeight="1">
      <c r="A128" s="183">
        <v>344</v>
      </c>
      <c r="B128" s="489" t="s">
        <v>60</v>
      </c>
      <c r="C128" s="468">
        <v>1</v>
      </c>
      <c r="D128" s="176">
        <v>25</v>
      </c>
      <c r="E128" s="209">
        <v>225.93</v>
      </c>
      <c r="F128" s="221">
        <v>225.93</v>
      </c>
      <c r="G128" s="217" t="s">
        <v>37</v>
      </c>
      <c r="H128" s="209">
        <f>IF($G128="P",$F128*$H$19,IF($G128="A",$H$19*$F128,IF($G128="L",0%*$F128)))</f>
        <v>15.815100000000003</v>
      </c>
      <c r="I128" s="209">
        <f>$F128*$I$19</f>
        <v>4.5186000000000002</v>
      </c>
      <c r="J128" s="209">
        <f>F128*$J$19</f>
        <v>2.2593000000000001</v>
      </c>
      <c r="K128" s="218">
        <f>(F128+H128+I128+J128)*$K$19</f>
        <v>34.793220000000005</v>
      </c>
      <c r="L128" s="219">
        <f>SUM(F128:K128)</f>
        <v>283.31621999999999</v>
      </c>
      <c r="M128" s="181">
        <f t="shared" si="40"/>
        <v>222.78957299999999</v>
      </c>
      <c r="N128" s="181">
        <f t="shared" si="40"/>
        <v>197.03355300000004</v>
      </c>
      <c r="O128" s="181">
        <f t="shared" si="40"/>
        <v>179.00433899999999</v>
      </c>
      <c r="P128" s="210">
        <f t="shared" si="40"/>
        <v>158.39952300000002</v>
      </c>
    </row>
    <row r="129" spans="1:17" s="26" customFormat="1" ht="15" customHeight="1">
      <c r="A129" s="183">
        <v>2328</v>
      </c>
      <c r="B129" s="489" t="s">
        <v>50</v>
      </c>
      <c r="C129" s="461">
        <v>1</v>
      </c>
      <c r="D129" s="176">
        <v>32</v>
      </c>
      <c r="E129" s="209">
        <v>351.58</v>
      </c>
      <c r="F129" s="221">
        <v>351.58</v>
      </c>
      <c r="G129" s="217" t="s">
        <v>37</v>
      </c>
      <c r="H129" s="209">
        <f>IF($G129="P",$F129*$H$19,IF($G129="A",$H$19*$F129,IF($G129="L",0%*$F129)))</f>
        <v>24.610600000000002</v>
      </c>
      <c r="I129" s="209">
        <f>$F129*$I$19</f>
        <v>7.0316000000000001</v>
      </c>
      <c r="J129" s="209">
        <f>F129*$J$19</f>
        <v>3.5158</v>
      </c>
      <c r="K129" s="218">
        <f>(F129+H129+I129+J129)*$K$19</f>
        <v>54.143320000000003</v>
      </c>
      <c r="L129" s="219">
        <f>SUM(F129:K129)</f>
        <v>440.88132000000002</v>
      </c>
      <c r="M129" s="181">
        <f t="shared" si="40"/>
        <v>346.69303799999994</v>
      </c>
      <c r="N129" s="181">
        <f t="shared" si="40"/>
        <v>306.61291799999998</v>
      </c>
      <c r="O129" s="181">
        <f t="shared" si="40"/>
        <v>278.55683399999998</v>
      </c>
      <c r="P129" s="210">
        <f t="shared" si="40"/>
        <v>246.49273799999997</v>
      </c>
    </row>
    <row r="130" spans="1:17" s="26" customFormat="1" ht="15" customHeight="1">
      <c r="A130" s="195">
        <v>2329</v>
      </c>
      <c r="B130" s="491" t="s">
        <v>51</v>
      </c>
      <c r="C130" s="469">
        <v>1</v>
      </c>
      <c r="D130" s="191">
        <v>30</v>
      </c>
      <c r="E130" s="247">
        <v>323.33999999999997</v>
      </c>
      <c r="F130" s="248">
        <v>323.33999999999997</v>
      </c>
      <c r="G130" s="249" t="s">
        <v>37</v>
      </c>
      <c r="H130" s="247">
        <f>IF($G130="P",$F130*$H$19,IF($G130="A",$H$19*$F130,IF($G130="L",0%*$F130)))</f>
        <v>22.633800000000001</v>
      </c>
      <c r="I130" s="247">
        <f>$F130*$I$19</f>
        <v>6.4667999999999992</v>
      </c>
      <c r="J130" s="247">
        <f>F130*$J$19</f>
        <v>3.2333999999999996</v>
      </c>
      <c r="K130" s="343">
        <f>(F130+H130+I130+J130)*$K$19</f>
        <v>49.794360000000005</v>
      </c>
      <c r="L130" s="413">
        <f>SUM(F130:K130)</f>
        <v>405.46835999999996</v>
      </c>
      <c r="M130" s="399">
        <f t="shared" si="40"/>
        <v>318.84557399999994</v>
      </c>
      <c r="N130" s="399">
        <f t="shared" si="40"/>
        <v>281.98481399999997</v>
      </c>
      <c r="O130" s="399">
        <f t="shared" si="40"/>
        <v>256.18228199999999</v>
      </c>
      <c r="P130" s="279">
        <f t="shared" si="40"/>
        <v>226.69367399999996</v>
      </c>
    </row>
    <row r="131" spans="1:17" s="25" customFormat="1" ht="15" customHeight="1">
      <c r="A131" s="359" t="s">
        <v>105</v>
      </c>
      <c r="B131" s="492"/>
      <c r="C131" s="470"/>
      <c r="D131" s="454"/>
      <c r="E131" s="455"/>
      <c r="F131" s="455"/>
      <c r="G131" s="454"/>
      <c r="H131" s="454"/>
      <c r="I131" s="454"/>
      <c r="J131" s="456"/>
      <c r="K131" s="456"/>
      <c r="L131" s="386"/>
      <c r="M131" s="457"/>
      <c r="N131" s="457"/>
      <c r="O131" s="457"/>
      <c r="P131" s="458"/>
    </row>
    <row r="132" spans="1:17" s="25" customFormat="1" ht="15" customHeight="1">
      <c r="A132" s="445" t="s">
        <v>273</v>
      </c>
      <c r="B132" s="493"/>
      <c r="C132" s="471"/>
      <c r="D132" s="446"/>
      <c r="E132" s="446"/>
      <c r="F132" s="446"/>
      <c r="G132" s="446"/>
      <c r="H132" s="446"/>
      <c r="I132" s="446"/>
      <c r="J132" s="446"/>
      <c r="K132" s="446"/>
      <c r="L132" s="281"/>
      <c r="M132" s="447"/>
      <c r="N132" s="447"/>
      <c r="O132" s="447"/>
      <c r="P132" s="448"/>
    </row>
    <row r="133" spans="1:17" s="26" customFormat="1" ht="15" customHeight="1">
      <c r="A133" s="183">
        <v>5000</v>
      </c>
      <c r="B133" s="489" t="s">
        <v>177</v>
      </c>
      <c r="C133" s="468">
        <v>1</v>
      </c>
      <c r="D133" s="273"/>
      <c r="E133" s="209">
        <v>725.4</v>
      </c>
      <c r="F133" s="209">
        <v>725.4</v>
      </c>
      <c r="G133" s="274" t="s">
        <v>38</v>
      </c>
      <c r="H133" s="209">
        <f>IF($G133="P",$F133*$H$19,IF($G133="A",$H$19*$F133,IF($G133="L",0%*$F133)))</f>
        <v>0</v>
      </c>
      <c r="I133" s="452">
        <f>$F133*$I$19</f>
        <v>14.507999999999999</v>
      </c>
      <c r="J133" s="452">
        <f>F133*$J$19</f>
        <v>7.2539999999999996</v>
      </c>
      <c r="K133" s="209">
        <f t="shared" ref="K133:K169" si="41">(F133+H133+I133+J133)*$K$19</f>
        <v>104.60268000000002</v>
      </c>
      <c r="L133" s="413">
        <v>895</v>
      </c>
      <c r="M133" s="287">
        <f>(($F133+$H133+3.5%*$F133+$J133))*1.14</f>
        <v>864.16901999999993</v>
      </c>
      <c r="N133" s="453">
        <f t="shared" ref="N133:P134" si="42">(($F133+$H133+3.5%*$F133+$J133))*1.14</f>
        <v>864.16901999999993</v>
      </c>
      <c r="O133" s="280">
        <f t="shared" si="42"/>
        <v>864.16901999999993</v>
      </c>
      <c r="P133" s="210">
        <f t="shared" si="42"/>
        <v>864.16901999999993</v>
      </c>
    </row>
    <row r="134" spans="1:17" s="26" customFormat="1" ht="15" customHeight="1">
      <c r="A134" s="173">
        <v>4999</v>
      </c>
      <c r="B134" s="494" t="s">
        <v>177</v>
      </c>
      <c r="C134" s="472">
        <v>6</v>
      </c>
      <c r="D134" s="294"/>
      <c r="E134" s="225">
        <v>3627.02</v>
      </c>
      <c r="F134" s="225">
        <v>3627.02</v>
      </c>
      <c r="G134" s="295" t="s">
        <v>38</v>
      </c>
      <c r="H134" s="225">
        <f>IF($G134="P",$F134*$H$19,IF($G134="A",$H$19*$F134,IF($G134="L",0%*$F134)))</f>
        <v>0</v>
      </c>
      <c r="I134" s="225">
        <f>$F134*$I$19</f>
        <v>72.540400000000005</v>
      </c>
      <c r="J134" s="225">
        <f>F134*$J$19</f>
        <v>36.270200000000003</v>
      </c>
      <c r="K134" s="228">
        <f t="shared" si="41"/>
        <v>523.01628400000004</v>
      </c>
      <c r="L134" s="275"/>
      <c r="M134" s="449">
        <f>(($F134+$H134+3.5%*$F134+$J134))*1.14</f>
        <v>4320.8689260000001</v>
      </c>
      <c r="N134" s="450">
        <f t="shared" si="42"/>
        <v>4320.8689260000001</v>
      </c>
      <c r="O134" s="451">
        <f t="shared" si="42"/>
        <v>4320.8689260000001</v>
      </c>
      <c r="P134" s="426">
        <f t="shared" si="42"/>
        <v>4320.8689260000001</v>
      </c>
    </row>
    <row r="135" spans="1:17" s="26" customFormat="1" ht="15" customHeight="1">
      <c r="A135" s="183">
        <v>5451</v>
      </c>
      <c r="B135" s="489" t="s">
        <v>247</v>
      </c>
      <c r="C135" s="468">
        <v>1</v>
      </c>
      <c r="D135" s="273"/>
      <c r="E135" s="209">
        <v>484.26</v>
      </c>
      <c r="F135" s="209">
        <v>484.26</v>
      </c>
      <c r="G135" s="274" t="s">
        <v>38</v>
      </c>
      <c r="H135" s="209">
        <f>IF($G135="P",$F135*$H$19,IF($G135="A",$H$19*$F135,IF($G135="L",0%*$F135)))</f>
        <v>0</v>
      </c>
      <c r="I135" s="209">
        <f>$F135*$I$19</f>
        <v>9.6852</v>
      </c>
      <c r="J135" s="209">
        <f>F135*$J$19</f>
        <v>4.8426</v>
      </c>
      <c r="K135" s="218">
        <f t="shared" si="41"/>
        <v>69.830292000000014</v>
      </c>
      <c r="L135" s="275">
        <v>580</v>
      </c>
      <c r="M135" s="276">
        <f>(($F135+$H135+3.5%*$F135+$J135))*1.14</f>
        <v>576.89893799999993</v>
      </c>
      <c r="N135" s="277">
        <f>(($F135+$H135+3.5%*$F135+$J135))*1.14</f>
        <v>576.89893799999993</v>
      </c>
      <c r="O135" s="278">
        <f>(($F135+$H135+3.5%*$F135+$J135))*1.14</f>
        <v>576.89893799999993</v>
      </c>
      <c r="P135" s="279">
        <f>(($F135+$H135+3.5%*$F135+$J135))*1.14</f>
        <v>576.89893799999993</v>
      </c>
    </row>
    <row r="136" spans="1:17" s="26" customFormat="1" ht="15" customHeight="1">
      <c r="A136" s="183">
        <v>909</v>
      </c>
      <c r="B136" s="489" t="s">
        <v>22</v>
      </c>
      <c r="C136" s="468">
        <v>1</v>
      </c>
      <c r="D136" s="273"/>
      <c r="E136" s="209">
        <v>332</v>
      </c>
      <c r="F136" s="209">
        <v>332</v>
      </c>
      <c r="G136" s="274" t="s">
        <v>38</v>
      </c>
      <c r="H136" s="209">
        <f>IF($G136="P",$F136*$H$19,IF($G136="A",$H$19*$F136,IF($G136="L",0%*$F136)))</f>
        <v>0</v>
      </c>
      <c r="I136" s="209">
        <f>$F136*$I$19</f>
        <v>6.6400000000000006</v>
      </c>
      <c r="J136" s="209">
        <f>F136*$J$19</f>
        <v>3.3200000000000003</v>
      </c>
      <c r="K136" s="218">
        <f t="shared" si="41"/>
        <v>47.874400000000001</v>
      </c>
      <c r="L136" s="275"/>
      <c r="M136" s="276">
        <f>($F136+$H136)*1.14</f>
        <v>378.47999999999996</v>
      </c>
      <c r="N136" s="277">
        <f t="shared" ref="N136:P139" si="43">($F136+$H136)*1.14</f>
        <v>378.47999999999996</v>
      </c>
      <c r="O136" s="278">
        <f t="shared" si="43"/>
        <v>378.47999999999996</v>
      </c>
      <c r="P136" s="279">
        <f t="shared" si="43"/>
        <v>378.47999999999996</v>
      </c>
    </row>
    <row r="137" spans="1:17" s="26" customFormat="1" ht="15" customHeight="1" thickBot="1">
      <c r="A137" s="195">
        <v>9909</v>
      </c>
      <c r="B137" s="491" t="s">
        <v>26</v>
      </c>
      <c r="C137" s="473">
        <v>1</v>
      </c>
      <c r="D137" s="342"/>
      <c r="E137" s="247">
        <v>66.5</v>
      </c>
      <c r="F137" s="247">
        <v>66.5</v>
      </c>
      <c r="G137" s="422" t="s">
        <v>38</v>
      </c>
      <c r="H137" s="247">
        <f>IF($G137="P",$F137*$H$19,IF($G137="A",$H$19*$F137,IF($G137="L",0%*$F137)))</f>
        <v>0</v>
      </c>
      <c r="I137" s="247">
        <f>$F137*$I$19</f>
        <v>1.33</v>
      </c>
      <c r="J137" s="247">
        <f>F137*$J$19</f>
        <v>0.66500000000000004</v>
      </c>
      <c r="K137" s="343">
        <f t="shared" si="41"/>
        <v>9.5893000000000015</v>
      </c>
      <c r="L137" s="275"/>
      <c r="M137" s="276">
        <f>($F137+$H137)*1.14</f>
        <v>75.809999999999988</v>
      </c>
      <c r="N137" s="277">
        <f t="shared" si="43"/>
        <v>75.809999999999988</v>
      </c>
      <c r="O137" s="278">
        <f t="shared" si="43"/>
        <v>75.809999999999988</v>
      </c>
      <c r="P137" s="279">
        <f t="shared" si="43"/>
        <v>75.809999999999988</v>
      </c>
    </row>
    <row r="138" spans="1:17" s="26" customFormat="1" ht="15" customHeight="1">
      <c r="A138" s="441" t="s">
        <v>168</v>
      </c>
      <c r="B138" s="495"/>
      <c r="C138" s="442"/>
      <c r="D138" s="443"/>
      <c r="E138" s="443"/>
      <c r="F138" s="443"/>
      <c r="G138" s="444"/>
      <c r="H138" s="268"/>
      <c r="I138" s="268"/>
      <c r="J138" s="268"/>
      <c r="K138" s="268"/>
      <c r="L138" s="268"/>
      <c r="M138" s="439"/>
      <c r="N138" s="439"/>
      <c r="O138" s="439"/>
      <c r="P138" s="440"/>
    </row>
    <row r="139" spans="1:17" s="394" customFormat="1" ht="15" customHeight="1">
      <c r="A139" s="395">
        <v>9101</v>
      </c>
      <c r="B139" s="496" t="s">
        <v>292</v>
      </c>
      <c r="C139" s="474" t="s">
        <v>293</v>
      </c>
      <c r="D139" s="423"/>
      <c r="E139" s="424" t="s">
        <v>299</v>
      </c>
      <c r="F139" s="524" t="s">
        <v>299</v>
      </c>
      <c r="G139" s="523" t="s">
        <v>38</v>
      </c>
      <c r="H139" s="209">
        <f>IF($G139="P",$F139*$H$19,IF($G139="A",$H$19*$F139,IF($G139="L",0%*$F139)))</f>
        <v>0</v>
      </c>
      <c r="I139" s="209">
        <f>$F139*$I$19</f>
        <v>0.40560000000000002</v>
      </c>
      <c r="J139" s="209">
        <f>F139*$J$19</f>
        <v>0.20280000000000001</v>
      </c>
      <c r="K139" s="209">
        <f t="shared" si="41"/>
        <v>2.9243760000000005</v>
      </c>
      <c r="L139" s="396"/>
      <c r="M139" s="297">
        <f>($F139+$H139)*1.14</f>
        <v>23.119199999999999</v>
      </c>
      <c r="N139" s="425">
        <f t="shared" si="43"/>
        <v>23.119199999999999</v>
      </c>
      <c r="O139" s="297">
        <f t="shared" si="43"/>
        <v>23.119199999999999</v>
      </c>
      <c r="P139" s="426">
        <f t="shared" si="43"/>
        <v>23.119199999999999</v>
      </c>
      <c r="Q139" s="522"/>
    </row>
    <row r="140" spans="1:17" s="27" customFormat="1" ht="15" customHeight="1">
      <c r="A140" s="390">
        <v>6410</v>
      </c>
      <c r="B140" s="497" t="s">
        <v>249</v>
      </c>
      <c r="C140" s="475">
        <v>4</v>
      </c>
      <c r="D140" s="391"/>
      <c r="E140" s="225">
        <v>25</v>
      </c>
      <c r="F140" s="392">
        <v>25</v>
      </c>
      <c r="G140" s="393" t="s">
        <v>38</v>
      </c>
      <c r="H140" s="225">
        <f>IF($G140="P",$F140*$H$19,IF($G140="A",$H$19*$F140,IF($G140="L",0%*$F140)))</f>
        <v>0</v>
      </c>
      <c r="I140" s="225">
        <f>$F140*$I$19</f>
        <v>0.5</v>
      </c>
      <c r="J140" s="225">
        <f t="shared" ref="J140:J158" si="44">F140*$J$19</f>
        <v>0.25</v>
      </c>
      <c r="K140" s="226">
        <f>(F140+H173+I140+J140)*$K$19</f>
        <v>3.6050000000000004</v>
      </c>
      <c r="L140" s="286"/>
      <c r="M140" s="296">
        <f>(($F140+$H140+3.5%*$F140+$J140))*1.14</f>
        <v>29.782499999999999</v>
      </c>
      <c r="N140" s="297">
        <f>(($F140+$H140+3.5%*$F140+$J140))*1.14</f>
        <v>29.782499999999999</v>
      </c>
      <c r="O140" s="297">
        <f>(($F140+$H140+3.5%*$F140+$J140))*1.14</f>
        <v>29.782499999999999</v>
      </c>
      <c r="P140" s="182">
        <f>(($F140+$H140+3.5%*$F140+$J140))*1.14</f>
        <v>29.782499999999999</v>
      </c>
    </row>
    <row r="141" spans="1:17" s="26" customFormat="1" ht="15" customHeight="1">
      <c r="A141" s="284">
        <v>6045</v>
      </c>
      <c r="B141" s="489" t="s">
        <v>246</v>
      </c>
      <c r="C141" s="461">
        <v>10</v>
      </c>
      <c r="D141" s="288"/>
      <c r="E141" s="289">
        <v>22.16</v>
      </c>
      <c r="F141" s="341">
        <v>22.16</v>
      </c>
      <c r="G141" s="290" t="s">
        <v>38</v>
      </c>
      <c r="H141" s="209">
        <f t="shared" ref="H141:H147" si="45">IF($G141="P",$F141*$H$19,IF($G141="A",$H$19*$F141,IF($G141="L",0%*$F141)))</f>
        <v>0</v>
      </c>
      <c r="I141" s="209">
        <f t="shared" ref="I141:I147" si="46">$F141*$I$19</f>
        <v>0.44320000000000004</v>
      </c>
      <c r="J141" s="209">
        <f t="shared" si="44"/>
        <v>0.22160000000000002</v>
      </c>
      <c r="K141" s="221">
        <f t="shared" si="41"/>
        <v>3.1954720000000001</v>
      </c>
      <c r="L141" s="286"/>
      <c r="M141" s="287">
        <f t="shared" ref="M141:P158" si="47">(($F141+$H141+3.5%*$F141+$J141))*1.14</f>
        <v>26.399207999999998</v>
      </c>
      <c r="N141" s="280">
        <f t="shared" si="47"/>
        <v>26.399207999999998</v>
      </c>
      <c r="O141" s="280">
        <f t="shared" si="47"/>
        <v>26.399207999999998</v>
      </c>
      <c r="P141" s="210">
        <f t="shared" si="47"/>
        <v>26.399207999999998</v>
      </c>
    </row>
    <row r="142" spans="1:17" s="26" customFormat="1" ht="15" customHeight="1">
      <c r="A142" s="382">
        <v>6999</v>
      </c>
      <c r="B142" s="489" t="s">
        <v>284</v>
      </c>
      <c r="C142" s="461">
        <v>10</v>
      </c>
      <c r="D142" s="288"/>
      <c r="E142" s="289">
        <v>12.75</v>
      </c>
      <c r="F142" s="341">
        <v>12.75</v>
      </c>
      <c r="G142" s="290" t="s">
        <v>38</v>
      </c>
      <c r="H142" s="209">
        <f t="shared" si="45"/>
        <v>0</v>
      </c>
      <c r="I142" s="209">
        <f t="shared" si="46"/>
        <v>0.255</v>
      </c>
      <c r="J142" s="209">
        <f t="shared" si="44"/>
        <v>0.1275</v>
      </c>
      <c r="K142" s="221">
        <f t="shared" si="41"/>
        <v>1.8385500000000001</v>
      </c>
      <c r="L142" s="286"/>
      <c r="M142" s="287">
        <f t="shared" si="47"/>
        <v>15.189074999999997</v>
      </c>
      <c r="N142" s="280">
        <f t="shared" si="47"/>
        <v>15.189074999999997</v>
      </c>
      <c r="O142" s="280">
        <f t="shared" si="47"/>
        <v>15.189074999999997</v>
      </c>
      <c r="P142" s="210">
        <f t="shared" si="47"/>
        <v>15.189074999999997</v>
      </c>
    </row>
    <row r="143" spans="1:17" s="26" customFormat="1" ht="15" customHeight="1">
      <c r="A143" s="198">
        <v>5299</v>
      </c>
      <c r="B143" s="498" t="s">
        <v>187</v>
      </c>
      <c r="C143" s="476">
        <v>10</v>
      </c>
      <c r="D143" s="291"/>
      <c r="E143" s="209">
        <v>7.19</v>
      </c>
      <c r="F143" s="221">
        <v>7.19</v>
      </c>
      <c r="G143" s="217" t="s">
        <v>38</v>
      </c>
      <c r="H143" s="209">
        <f t="shared" si="45"/>
        <v>0</v>
      </c>
      <c r="I143" s="209">
        <f t="shared" si="46"/>
        <v>0.14380000000000001</v>
      </c>
      <c r="J143" s="209">
        <f t="shared" si="44"/>
        <v>7.1900000000000006E-2</v>
      </c>
      <c r="K143" s="218">
        <f t="shared" si="41"/>
        <v>1.0367980000000001</v>
      </c>
      <c r="L143" s="275"/>
      <c r="M143" s="287">
        <f t="shared" si="47"/>
        <v>8.5654469999999989</v>
      </c>
      <c r="N143" s="280">
        <f t="shared" si="47"/>
        <v>8.5654469999999989</v>
      </c>
      <c r="O143" s="280">
        <f t="shared" si="47"/>
        <v>8.5654469999999989</v>
      </c>
      <c r="P143" s="210">
        <f t="shared" si="47"/>
        <v>8.5654469999999989</v>
      </c>
    </row>
    <row r="144" spans="1:17" s="26" customFormat="1" ht="15" customHeight="1">
      <c r="A144" s="183">
        <v>6149</v>
      </c>
      <c r="B144" s="498" t="s">
        <v>127</v>
      </c>
      <c r="C144" s="461">
        <v>1</v>
      </c>
      <c r="D144" s="273"/>
      <c r="E144" s="209">
        <v>52.3</v>
      </c>
      <c r="F144" s="178">
        <v>52.3</v>
      </c>
      <c r="G144" s="256" t="s">
        <v>38</v>
      </c>
      <c r="H144" s="257">
        <f t="shared" si="45"/>
        <v>0</v>
      </c>
      <c r="I144" s="257">
        <f t="shared" si="46"/>
        <v>1.046</v>
      </c>
      <c r="J144" s="209">
        <f t="shared" si="44"/>
        <v>0.52300000000000002</v>
      </c>
      <c r="K144" s="218">
        <f t="shared" si="41"/>
        <v>7.5416600000000003</v>
      </c>
      <c r="L144" s="275"/>
      <c r="M144" s="287">
        <f t="shared" si="47"/>
        <v>62.304989999999997</v>
      </c>
      <c r="N144" s="280">
        <f t="shared" si="47"/>
        <v>62.304989999999997</v>
      </c>
      <c r="O144" s="280">
        <f t="shared" si="47"/>
        <v>62.304989999999997</v>
      </c>
      <c r="P144" s="210">
        <f t="shared" si="47"/>
        <v>62.304989999999997</v>
      </c>
    </row>
    <row r="145" spans="1:16" s="26" customFormat="1" ht="15" customHeight="1">
      <c r="A145" s="198">
        <v>6240</v>
      </c>
      <c r="B145" s="489" t="s">
        <v>169</v>
      </c>
      <c r="C145" s="461">
        <v>10</v>
      </c>
      <c r="D145" s="273"/>
      <c r="E145" s="209">
        <v>61.46</v>
      </c>
      <c r="F145" s="178">
        <v>61.46</v>
      </c>
      <c r="G145" s="256" t="s">
        <v>38</v>
      </c>
      <c r="H145" s="257">
        <f t="shared" si="45"/>
        <v>0</v>
      </c>
      <c r="I145" s="257">
        <f t="shared" si="46"/>
        <v>1.2292000000000001</v>
      </c>
      <c r="J145" s="209">
        <f t="shared" si="44"/>
        <v>0.61460000000000004</v>
      </c>
      <c r="K145" s="218">
        <f t="shared" si="41"/>
        <v>8.8625320000000016</v>
      </c>
      <c r="L145" s="275"/>
      <c r="M145" s="287">
        <f t="shared" si="47"/>
        <v>73.217298</v>
      </c>
      <c r="N145" s="280">
        <f t="shared" si="47"/>
        <v>73.217298</v>
      </c>
      <c r="O145" s="280">
        <f t="shared" si="47"/>
        <v>73.217298</v>
      </c>
      <c r="P145" s="210">
        <f t="shared" si="47"/>
        <v>73.217298</v>
      </c>
    </row>
    <row r="146" spans="1:16" s="26" customFormat="1" ht="15" customHeight="1">
      <c r="A146" s="183">
        <v>6247</v>
      </c>
      <c r="B146" s="489" t="s">
        <v>131</v>
      </c>
      <c r="C146" s="461">
        <v>1</v>
      </c>
      <c r="D146" s="273"/>
      <c r="E146" s="209">
        <v>77.81</v>
      </c>
      <c r="F146" s="178">
        <v>77.81</v>
      </c>
      <c r="G146" s="217" t="s">
        <v>38</v>
      </c>
      <c r="H146" s="209">
        <f t="shared" si="45"/>
        <v>0</v>
      </c>
      <c r="I146" s="209">
        <f t="shared" si="46"/>
        <v>1.5562</v>
      </c>
      <c r="J146" s="209">
        <f t="shared" si="44"/>
        <v>0.77810000000000001</v>
      </c>
      <c r="K146" s="218">
        <f t="shared" si="41"/>
        <v>11.220202</v>
      </c>
      <c r="L146" s="275"/>
      <c r="M146" s="287">
        <f t="shared" si="47"/>
        <v>92.695052999999987</v>
      </c>
      <c r="N146" s="280">
        <f t="shared" si="47"/>
        <v>92.695052999999987</v>
      </c>
      <c r="O146" s="280">
        <f t="shared" si="47"/>
        <v>92.695052999999987</v>
      </c>
      <c r="P146" s="210">
        <f t="shared" si="47"/>
        <v>92.695052999999987</v>
      </c>
    </row>
    <row r="147" spans="1:16" s="26" customFormat="1" ht="15" customHeight="1" thickBot="1">
      <c r="A147" s="345">
        <v>6361</v>
      </c>
      <c r="B147" s="489" t="s">
        <v>80</v>
      </c>
      <c r="C147" s="461">
        <v>10</v>
      </c>
      <c r="D147" s="273"/>
      <c r="E147" s="209">
        <v>19.61</v>
      </c>
      <c r="F147" s="178">
        <v>19.61</v>
      </c>
      <c r="G147" s="238" t="s">
        <v>38</v>
      </c>
      <c r="H147" s="236">
        <f t="shared" si="45"/>
        <v>0</v>
      </c>
      <c r="I147" s="236">
        <f t="shared" si="46"/>
        <v>0.39219999999999999</v>
      </c>
      <c r="J147" s="236">
        <f t="shared" si="44"/>
        <v>0.1961</v>
      </c>
      <c r="K147" s="236">
        <f t="shared" si="41"/>
        <v>2.8277620000000003</v>
      </c>
      <c r="L147" s="281"/>
      <c r="M147" s="532">
        <f t="shared" si="47"/>
        <v>23.361393</v>
      </c>
      <c r="N147" s="280">
        <f t="shared" si="47"/>
        <v>23.361393</v>
      </c>
      <c r="O147" s="280">
        <f t="shared" si="47"/>
        <v>23.361393</v>
      </c>
      <c r="P147" s="210">
        <f t="shared" si="47"/>
        <v>23.361393</v>
      </c>
    </row>
    <row r="148" spans="1:16" s="27" customFormat="1" ht="15" customHeight="1">
      <c r="A148" s="338">
        <v>6428</v>
      </c>
      <c r="B148" s="499" t="s">
        <v>140</v>
      </c>
      <c r="C148" s="477">
        <v>1</v>
      </c>
      <c r="D148" s="339"/>
      <c r="E148" s="225">
        <v>2.99</v>
      </c>
      <c r="F148" s="392">
        <v>2.99</v>
      </c>
      <c r="G148" s="227" t="s">
        <v>38</v>
      </c>
      <c r="H148" s="225">
        <f t="shared" ref="H148:H158" si="48">IF($G148="P",$F148*$H$19,IF($G148="A",$H$19*$F148,IF($G148="L",0%*$F148)))</f>
        <v>0</v>
      </c>
      <c r="I148" s="225">
        <f t="shared" ref="I148:I153" si="49">$F148*$I$19</f>
        <v>5.9800000000000006E-2</v>
      </c>
      <c r="J148" s="225">
        <f t="shared" si="44"/>
        <v>2.9900000000000003E-2</v>
      </c>
      <c r="K148" s="228">
        <f t="shared" si="41"/>
        <v>0.4311580000000001</v>
      </c>
      <c r="L148" s="275"/>
      <c r="M148" s="296">
        <f t="shared" si="47"/>
        <v>3.5619869999999998</v>
      </c>
      <c r="N148" s="297">
        <f t="shared" si="47"/>
        <v>3.5619869999999998</v>
      </c>
      <c r="O148" s="297">
        <f t="shared" si="47"/>
        <v>3.5619869999999998</v>
      </c>
      <c r="P148" s="231">
        <f t="shared" si="47"/>
        <v>3.5619869999999998</v>
      </c>
    </row>
    <row r="149" spans="1:16" s="26" customFormat="1" ht="15" customHeight="1">
      <c r="A149" s="183">
        <v>6530</v>
      </c>
      <c r="B149" s="489" t="s">
        <v>91</v>
      </c>
      <c r="C149" s="461">
        <v>1</v>
      </c>
      <c r="D149" s="273"/>
      <c r="E149" s="209">
        <v>44.45</v>
      </c>
      <c r="F149" s="177">
        <v>44.45</v>
      </c>
      <c r="G149" s="274" t="s">
        <v>38</v>
      </c>
      <c r="H149" s="209">
        <f t="shared" si="48"/>
        <v>0</v>
      </c>
      <c r="I149" s="209">
        <f t="shared" si="49"/>
        <v>0.88900000000000012</v>
      </c>
      <c r="J149" s="209">
        <f t="shared" si="44"/>
        <v>0.44450000000000006</v>
      </c>
      <c r="K149" s="218">
        <f t="shared" si="41"/>
        <v>6.4096900000000012</v>
      </c>
      <c r="L149" s="275"/>
      <c r="M149" s="287">
        <f t="shared" si="47"/>
        <v>52.953285000000001</v>
      </c>
      <c r="N149" s="280">
        <f t="shared" si="47"/>
        <v>52.953285000000001</v>
      </c>
      <c r="O149" s="280">
        <f t="shared" si="47"/>
        <v>52.953285000000001</v>
      </c>
      <c r="P149" s="210">
        <f t="shared" si="47"/>
        <v>52.953285000000001</v>
      </c>
    </row>
    <row r="150" spans="1:16" s="26" customFormat="1" ht="15" customHeight="1">
      <c r="A150" s="183">
        <v>6767</v>
      </c>
      <c r="B150" s="498" t="s">
        <v>130</v>
      </c>
      <c r="C150" s="461">
        <v>10</v>
      </c>
      <c r="D150" s="273"/>
      <c r="E150" s="209">
        <v>71.900000000000006</v>
      </c>
      <c r="F150" s="177">
        <v>71.900000000000006</v>
      </c>
      <c r="G150" s="274" t="s">
        <v>38</v>
      </c>
      <c r="H150" s="209">
        <f t="shared" si="48"/>
        <v>0</v>
      </c>
      <c r="I150" s="209">
        <f t="shared" si="49"/>
        <v>1.4380000000000002</v>
      </c>
      <c r="J150" s="209">
        <f t="shared" si="44"/>
        <v>0.71900000000000008</v>
      </c>
      <c r="K150" s="218">
        <f t="shared" si="41"/>
        <v>10.367980000000001</v>
      </c>
      <c r="L150" s="275"/>
      <c r="M150" s="287">
        <f t="shared" si="47"/>
        <v>85.654470000000003</v>
      </c>
      <c r="N150" s="280">
        <f t="shared" si="47"/>
        <v>85.654470000000003</v>
      </c>
      <c r="O150" s="280">
        <f t="shared" si="47"/>
        <v>85.654470000000003</v>
      </c>
      <c r="P150" s="210">
        <f t="shared" si="47"/>
        <v>85.654470000000003</v>
      </c>
    </row>
    <row r="151" spans="1:16" s="26" customFormat="1" ht="15" customHeight="1">
      <c r="A151" s="198">
        <v>6937</v>
      </c>
      <c r="B151" s="500" t="s">
        <v>185</v>
      </c>
      <c r="C151" s="461">
        <v>20</v>
      </c>
      <c r="D151" s="273"/>
      <c r="E151" s="209">
        <v>54.454349999999998</v>
      </c>
      <c r="F151" s="177">
        <v>54.454349999999998</v>
      </c>
      <c r="G151" s="274" t="s">
        <v>38</v>
      </c>
      <c r="H151" s="209">
        <f t="shared" si="48"/>
        <v>0</v>
      </c>
      <c r="I151" s="209">
        <f t="shared" si="49"/>
        <v>1.0890869999999999</v>
      </c>
      <c r="J151" s="209">
        <f t="shared" si="44"/>
        <v>0.54454349999999996</v>
      </c>
      <c r="K151" s="218">
        <f t="shared" si="41"/>
        <v>7.8523172700000012</v>
      </c>
      <c r="L151" s="275"/>
      <c r="M151" s="287">
        <f t="shared" si="47"/>
        <v>64.871467154999991</v>
      </c>
      <c r="N151" s="280">
        <f t="shared" si="47"/>
        <v>64.871467154999991</v>
      </c>
      <c r="O151" s="280">
        <f t="shared" si="47"/>
        <v>64.871467154999991</v>
      </c>
      <c r="P151" s="210">
        <f t="shared" si="47"/>
        <v>64.871467154999991</v>
      </c>
    </row>
    <row r="152" spans="1:16" s="26" customFormat="1" ht="15" customHeight="1">
      <c r="A152" s="183">
        <v>7066</v>
      </c>
      <c r="B152" s="500" t="s">
        <v>136</v>
      </c>
      <c r="C152" s="461">
        <v>10</v>
      </c>
      <c r="D152" s="273"/>
      <c r="E152" s="209">
        <v>12.88815</v>
      </c>
      <c r="F152" s="177">
        <v>12.88815</v>
      </c>
      <c r="G152" s="274" t="s">
        <v>38</v>
      </c>
      <c r="H152" s="209">
        <f t="shared" si="48"/>
        <v>0</v>
      </c>
      <c r="I152" s="209">
        <f t="shared" si="49"/>
        <v>0.25776300000000002</v>
      </c>
      <c r="J152" s="209">
        <f t="shared" si="44"/>
        <v>0.12888150000000001</v>
      </c>
      <c r="K152" s="218">
        <f t="shared" si="41"/>
        <v>1.8584712300000001</v>
      </c>
      <c r="L152" s="275"/>
      <c r="M152" s="287">
        <f t="shared" si="47"/>
        <v>15.353653094999999</v>
      </c>
      <c r="N152" s="280">
        <f t="shared" si="47"/>
        <v>15.353653094999999</v>
      </c>
      <c r="O152" s="280">
        <f t="shared" si="47"/>
        <v>15.353653094999999</v>
      </c>
      <c r="P152" s="210">
        <f t="shared" si="47"/>
        <v>15.353653094999999</v>
      </c>
    </row>
    <row r="153" spans="1:16" s="26" customFormat="1" ht="15" customHeight="1">
      <c r="A153" s="173">
        <v>8648</v>
      </c>
      <c r="B153" s="499" t="s">
        <v>191</v>
      </c>
      <c r="C153" s="460">
        <v>1</v>
      </c>
      <c r="D153" s="294"/>
      <c r="E153" s="225">
        <v>11.57</v>
      </c>
      <c r="F153" s="340">
        <v>11.57</v>
      </c>
      <c r="G153" s="295" t="s">
        <v>38</v>
      </c>
      <c r="H153" s="225">
        <f t="shared" si="48"/>
        <v>0</v>
      </c>
      <c r="I153" s="225">
        <f t="shared" si="49"/>
        <v>0.23140000000000002</v>
      </c>
      <c r="J153" s="225">
        <f t="shared" si="44"/>
        <v>0.11570000000000001</v>
      </c>
      <c r="K153" s="228">
        <f t="shared" si="41"/>
        <v>1.6683940000000004</v>
      </c>
      <c r="L153" s="275"/>
      <c r="M153" s="296">
        <f t="shared" si="47"/>
        <v>13.783340999999998</v>
      </c>
      <c r="N153" s="297">
        <f t="shared" si="47"/>
        <v>13.783340999999998</v>
      </c>
      <c r="O153" s="297">
        <f t="shared" si="47"/>
        <v>13.783340999999998</v>
      </c>
      <c r="P153" s="231">
        <f t="shared" si="47"/>
        <v>13.783340999999998</v>
      </c>
    </row>
    <row r="154" spans="1:16" s="26" customFormat="1" ht="15" customHeight="1">
      <c r="A154" s="183">
        <v>9531</v>
      </c>
      <c r="B154" s="500" t="s">
        <v>132</v>
      </c>
      <c r="C154" s="461">
        <v>1</v>
      </c>
      <c r="D154" s="273"/>
      <c r="E154" s="209">
        <v>43.580999999999996</v>
      </c>
      <c r="F154" s="177">
        <v>43.580999999999996</v>
      </c>
      <c r="G154" s="274" t="s">
        <v>38</v>
      </c>
      <c r="H154" s="209">
        <f t="shared" si="48"/>
        <v>0</v>
      </c>
      <c r="I154" s="209">
        <f>$F154*$I$19</f>
        <v>0.87161999999999995</v>
      </c>
      <c r="J154" s="209">
        <f t="shared" si="44"/>
        <v>0.43580999999999998</v>
      </c>
      <c r="K154" s="218">
        <f t="shared" si="41"/>
        <v>6.2843801999999993</v>
      </c>
      <c r="L154" s="275"/>
      <c r="M154" s="287">
        <f t="shared" si="47"/>
        <v>51.918045299999982</v>
      </c>
      <c r="N154" s="280">
        <f t="shared" si="47"/>
        <v>51.918045299999982</v>
      </c>
      <c r="O154" s="280">
        <f t="shared" si="47"/>
        <v>51.918045299999982</v>
      </c>
      <c r="P154" s="210">
        <f t="shared" si="47"/>
        <v>51.918045299999982</v>
      </c>
    </row>
    <row r="155" spans="1:16" s="26" customFormat="1" ht="15" customHeight="1">
      <c r="A155" s="183">
        <v>5380</v>
      </c>
      <c r="B155" s="500" t="s">
        <v>206</v>
      </c>
      <c r="C155" s="461">
        <v>50</v>
      </c>
      <c r="D155" s="273"/>
      <c r="E155" s="209">
        <v>48.87</v>
      </c>
      <c r="F155" s="177">
        <v>48.87</v>
      </c>
      <c r="G155" s="274" t="s">
        <v>38</v>
      </c>
      <c r="H155" s="209">
        <f t="shared" si="48"/>
        <v>0</v>
      </c>
      <c r="I155" s="209">
        <f>$F155*$I$19</f>
        <v>0.97739999999999994</v>
      </c>
      <c r="J155" s="209">
        <f t="shared" si="44"/>
        <v>0.48869999999999997</v>
      </c>
      <c r="K155" s="218">
        <f t="shared" si="41"/>
        <v>7.047054000000001</v>
      </c>
      <c r="L155" s="275"/>
      <c r="M155" s="287">
        <f t="shared" si="47"/>
        <v>58.218830999999994</v>
      </c>
      <c r="N155" s="280">
        <f t="shared" si="47"/>
        <v>58.218830999999994</v>
      </c>
      <c r="O155" s="280">
        <f t="shared" si="47"/>
        <v>58.218830999999994</v>
      </c>
      <c r="P155" s="210">
        <f t="shared" si="47"/>
        <v>58.218830999999994</v>
      </c>
    </row>
    <row r="156" spans="1:16" s="26" customFormat="1" ht="15" customHeight="1">
      <c r="A156" s="183">
        <v>5632</v>
      </c>
      <c r="B156" s="501" t="s">
        <v>208</v>
      </c>
      <c r="C156" s="461">
        <v>1</v>
      </c>
      <c r="D156" s="273"/>
      <c r="E156" s="209">
        <v>199.5</v>
      </c>
      <c r="F156" s="177">
        <v>199.5</v>
      </c>
      <c r="G156" s="274" t="s">
        <v>38</v>
      </c>
      <c r="H156" s="209">
        <f t="shared" si="48"/>
        <v>0</v>
      </c>
      <c r="I156" s="209">
        <f>$F156*$I$19</f>
        <v>3.99</v>
      </c>
      <c r="J156" s="209">
        <f t="shared" si="44"/>
        <v>1.9950000000000001</v>
      </c>
      <c r="K156" s="218">
        <f t="shared" si="41"/>
        <v>28.767900000000004</v>
      </c>
      <c r="L156" s="275"/>
      <c r="M156" s="287">
        <f t="shared" si="47"/>
        <v>237.66434999999998</v>
      </c>
      <c r="N156" s="280">
        <f t="shared" si="47"/>
        <v>237.66434999999998</v>
      </c>
      <c r="O156" s="280">
        <f t="shared" si="47"/>
        <v>237.66434999999998</v>
      </c>
      <c r="P156" s="210">
        <f t="shared" si="47"/>
        <v>237.66434999999998</v>
      </c>
    </row>
    <row r="157" spans="1:16" s="26" customFormat="1" ht="15" customHeight="1">
      <c r="A157" s="298">
        <v>5848</v>
      </c>
      <c r="B157" s="501" t="s">
        <v>199</v>
      </c>
      <c r="C157" s="478">
        <v>5</v>
      </c>
      <c r="D157" s="273"/>
      <c r="E157" s="209">
        <v>17.72</v>
      </c>
      <c r="F157" s="177">
        <v>17.72</v>
      </c>
      <c r="G157" s="274" t="s">
        <v>38</v>
      </c>
      <c r="H157" s="209">
        <f t="shared" si="48"/>
        <v>0</v>
      </c>
      <c r="I157" s="209">
        <f>$F157*$I$19</f>
        <v>0.35439999999999999</v>
      </c>
      <c r="J157" s="209">
        <f t="shared" si="44"/>
        <v>0.1772</v>
      </c>
      <c r="K157" s="218">
        <f t="shared" si="41"/>
        <v>2.5552239999999999</v>
      </c>
      <c r="L157" s="275"/>
      <c r="M157" s="287">
        <f t="shared" si="47"/>
        <v>21.109835999999998</v>
      </c>
      <c r="N157" s="280">
        <f t="shared" si="47"/>
        <v>21.109835999999998</v>
      </c>
      <c r="O157" s="280">
        <f t="shared" si="47"/>
        <v>21.109835999999998</v>
      </c>
      <c r="P157" s="210">
        <f t="shared" si="47"/>
        <v>21.109835999999998</v>
      </c>
    </row>
    <row r="158" spans="1:16" s="27" customFormat="1" ht="15" customHeight="1">
      <c r="A158" s="298">
        <v>5850</v>
      </c>
      <c r="B158" s="501" t="s">
        <v>200</v>
      </c>
      <c r="C158" s="478">
        <v>5</v>
      </c>
      <c r="D158" s="273"/>
      <c r="E158" s="209">
        <v>17.72</v>
      </c>
      <c r="F158" s="177">
        <v>17.72</v>
      </c>
      <c r="G158" s="274" t="s">
        <v>38</v>
      </c>
      <c r="H158" s="209">
        <f t="shared" si="48"/>
        <v>0</v>
      </c>
      <c r="I158" s="209">
        <f>$F158*$I$19</f>
        <v>0.35439999999999999</v>
      </c>
      <c r="J158" s="209">
        <f t="shared" si="44"/>
        <v>0.1772</v>
      </c>
      <c r="K158" s="218">
        <f t="shared" si="41"/>
        <v>2.5552239999999999</v>
      </c>
      <c r="L158" s="275"/>
      <c r="M158" s="287">
        <f t="shared" si="47"/>
        <v>21.109835999999998</v>
      </c>
      <c r="N158" s="280">
        <f t="shared" si="47"/>
        <v>21.109835999999998</v>
      </c>
      <c r="O158" s="280">
        <f t="shared" si="47"/>
        <v>21.109835999999998</v>
      </c>
      <c r="P158" s="210">
        <f t="shared" si="47"/>
        <v>21.109835999999998</v>
      </c>
    </row>
    <row r="159" spans="1:16" s="26" customFormat="1" ht="15" customHeight="1">
      <c r="A159" s="360" t="s">
        <v>173</v>
      </c>
      <c r="B159" s="502"/>
      <c r="C159" s="479"/>
      <c r="D159" s="299"/>
      <c r="E159" s="213"/>
      <c r="F159" s="213"/>
      <c r="G159" s="299"/>
      <c r="H159" s="267"/>
      <c r="I159" s="267"/>
      <c r="J159" s="213"/>
      <c r="K159" s="267"/>
      <c r="L159" s="281"/>
      <c r="M159" s="282"/>
      <c r="N159" s="282"/>
      <c r="O159" s="282"/>
      <c r="P159" s="283"/>
    </row>
    <row r="160" spans="1:16" s="27" customFormat="1" ht="15" customHeight="1">
      <c r="A160" s="183">
        <v>5001</v>
      </c>
      <c r="B160" s="489" t="s">
        <v>23</v>
      </c>
      <c r="C160" s="468">
        <v>20</v>
      </c>
      <c r="D160" s="273"/>
      <c r="E160" s="209">
        <v>11.25</v>
      </c>
      <c r="F160" s="209">
        <v>11.25</v>
      </c>
      <c r="G160" s="274" t="s">
        <v>38</v>
      </c>
      <c r="H160" s="209">
        <f>IF($G160="P",$F160*$H$19,IF($G160="A",$H$19*$F160,IF($G160="L",0%*$F160)))</f>
        <v>0</v>
      </c>
      <c r="I160" s="209">
        <f>$F160*$I$19</f>
        <v>0.22500000000000001</v>
      </c>
      <c r="J160" s="209">
        <f>F160*$J$19</f>
        <v>0.1125</v>
      </c>
      <c r="K160" s="218">
        <f t="shared" si="41"/>
        <v>1.6222500000000002</v>
      </c>
      <c r="L160" s="275"/>
      <c r="M160" s="287">
        <f>(($F160+$H160+3.5%*$F160+$J160))*1.14</f>
        <v>13.402125</v>
      </c>
      <c r="N160" s="280">
        <f>(($F160+$H160+3.5%*$F160+$J160))*1.14</f>
        <v>13.402125</v>
      </c>
      <c r="O160" s="280">
        <f>(($F160+$H160+3.5%*$F160+$J160))*1.14</f>
        <v>13.402125</v>
      </c>
      <c r="P160" s="210">
        <f>(($F160+$H160+3.5%*$F160+$J160))*1.14</f>
        <v>13.402125</v>
      </c>
    </row>
    <row r="161" spans="1:16" s="27" customFormat="1" ht="15" customHeight="1">
      <c r="A161" s="360" t="s">
        <v>92</v>
      </c>
      <c r="B161" s="503"/>
      <c r="C161" s="479"/>
      <c r="D161" s="299"/>
      <c r="E161" s="213"/>
      <c r="F161" s="213"/>
      <c r="G161" s="299"/>
      <c r="H161" s="299"/>
      <c r="I161" s="267"/>
      <c r="J161" s="213"/>
      <c r="K161" s="267"/>
      <c r="L161" s="281"/>
      <c r="M161" s="300"/>
      <c r="N161" s="300"/>
      <c r="O161" s="300"/>
      <c r="P161" s="301"/>
    </row>
    <row r="162" spans="1:16" s="27" customFormat="1" ht="15" customHeight="1">
      <c r="A162" s="251">
        <v>9449</v>
      </c>
      <c r="B162" s="504" t="s">
        <v>171</v>
      </c>
      <c r="C162" s="480">
        <v>1</v>
      </c>
      <c r="D162" s="285"/>
      <c r="E162" s="209">
        <v>29.45</v>
      </c>
      <c r="F162" s="209">
        <v>29.45</v>
      </c>
      <c r="G162" s="285" t="s">
        <v>38</v>
      </c>
      <c r="H162" s="209">
        <f>IF($G162="P",$F162*$H$19,IF($G162="A",$H$19*$F162,IF($G162="L",0%*$F162)))</f>
        <v>0</v>
      </c>
      <c r="I162" s="209">
        <f>$F162*$I$19</f>
        <v>0.58899999999999997</v>
      </c>
      <c r="J162" s="209">
        <f>F162*$J$19</f>
        <v>0.29449999999999998</v>
      </c>
      <c r="K162" s="218">
        <f t="shared" si="41"/>
        <v>4.2466900000000001</v>
      </c>
      <c r="L162" s="275"/>
      <c r="M162" s="287">
        <f>(($F162+$H162+3.5%*$F162+$J162))*1.14</f>
        <v>35.083784999999999</v>
      </c>
      <c r="N162" s="280">
        <f>(($F162+$H162+3.5%*$F162+$J162))*1.14</f>
        <v>35.083784999999999</v>
      </c>
      <c r="O162" s="280">
        <f>(($F162+$H162+3.5%*$F162+$J162))*1.14</f>
        <v>35.083784999999999</v>
      </c>
      <c r="P162" s="210">
        <f>(($F162+$H162+3.5%*$F162+$J162))*1.14</f>
        <v>35.083784999999999</v>
      </c>
    </row>
    <row r="163" spans="1:16" s="27" customFormat="1" ht="15" customHeight="1">
      <c r="A163" s="251">
        <v>9451</v>
      </c>
      <c r="B163" s="504" t="s">
        <v>170</v>
      </c>
      <c r="C163" s="480">
        <v>10</v>
      </c>
      <c r="D163" s="285"/>
      <c r="E163" s="209">
        <v>265.16000000000003</v>
      </c>
      <c r="F163" s="209">
        <v>265.16000000000003</v>
      </c>
      <c r="G163" s="285" t="s">
        <v>38</v>
      </c>
      <c r="H163" s="209">
        <f>IF($G163="P",$F163*$H$19,IF($G163="A",$H$19*$F163,IF($G163="L",0%*$F163)))</f>
        <v>0</v>
      </c>
      <c r="I163" s="209">
        <f>$F163*$I$19</f>
        <v>5.3032000000000004</v>
      </c>
      <c r="J163" s="209">
        <f>F163*$J$19</f>
        <v>2.6516000000000002</v>
      </c>
      <c r="K163" s="218">
        <f t="shared" si="41"/>
        <v>38.236072000000007</v>
      </c>
      <c r="L163" s="275"/>
      <c r="M163" s="287">
        <f t="shared" ref="M163:P166" si="50">(($F163+$H163+3.5%*$F163+$J163))*1.14</f>
        <v>315.88510799999995</v>
      </c>
      <c r="N163" s="280">
        <f t="shared" si="50"/>
        <v>315.88510799999995</v>
      </c>
      <c r="O163" s="280">
        <f t="shared" si="50"/>
        <v>315.88510799999995</v>
      </c>
      <c r="P163" s="210">
        <f t="shared" si="50"/>
        <v>315.88510799999995</v>
      </c>
    </row>
    <row r="164" spans="1:16" s="26" customFormat="1" ht="15" customHeight="1">
      <c r="A164" s="251">
        <v>9375</v>
      </c>
      <c r="B164" s="505" t="s">
        <v>144</v>
      </c>
      <c r="C164" s="480">
        <v>1</v>
      </c>
      <c r="D164" s="285"/>
      <c r="E164" s="209">
        <v>50.994149999999998</v>
      </c>
      <c r="F164" s="209">
        <v>50.994149999999998</v>
      </c>
      <c r="G164" s="285" t="s">
        <v>38</v>
      </c>
      <c r="H164" s="209">
        <f>IF($G164="P",$F164*$H$19,IF($G164="A",$H$19*$F164,IF($G164="L",0%*$F164)))</f>
        <v>0</v>
      </c>
      <c r="I164" s="209">
        <f>$F164*$I$19</f>
        <v>1.0198829999999999</v>
      </c>
      <c r="J164" s="209">
        <f>F164*$J$19</f>
        <v>0.50994149999999994</v>
      </c>
      <c r="K164" s="218">
        <f t="shared" si="41"/>
        <v>7.3533564299999998</v>
      </c>
      <c r="L164" s="275"/>
      <c r="M164" s="287">
        <f t="shared" si="50"/>
        <v>60.749330894999993</v>
      </c>
      <c r="N164" s="280">
        <f t="shared" si="50"/>
        <v>60.749330894999993</v>
      </c>
      <c r="O164" s="280">
        <f t="shared" si="50"/>
        <v>60.749330894999993</v>
      </c>
      <c r="P164" s="210">
        <f t="shared" si="50"/>
        <v>60.749330894999993</v>
      </c>
    </row>
    <row r="165" spans="1:16" s="27" customFormat="1" ht="15" customHeight="1">
      <c r="A165" s="302">
        <v>9113</v>
      </c>
      <c r="B165" s="506" t="s">
        <v>141</v>
      </c>
      <c r="C165" s="478">
        <v>1</v>
      </c>
      <c r="D165" s="303"/>
      <c r="E165" s="209">
        <v>125.51</v>
      </c>
      <c r="F165" s="209">
        <v>125.51</v>
      </c>
      <c r="G165" s="273" t="s">
        <v>38</v>
      </c>
      <c r="H165" s="209">
        <f>IF($G165="P",$F165*$H$19,IF($G165="A",$H$19*$F165,IF($G165="L",0%*$F165)))</f>
        <v>0</v>
      </c>
      <c r="I165" s="209">
        <f>$F165*$I$19</f>
        <v>2.5102000000000002</v>
      </c>
      <c r="J165" s="209">
        <f>F165*$J$19</f>
        <v>1.2551000000000001</v>
      </c>
      <c r="K165" s="218">
        <f t="shared" si="41"/>
        <v>18.098542000000005</v>
      </c>
      <c r="L165" s="275"/>
      <c r="M165" s="287">
        <f t="shared" si="50"/>
        <v>149.52006299999999</v>
      </c>
      <c r="N165" s="280">
        <f t="shared" si="50"/>
        <v>149.52006299999999</v>
      </c>
      <c r="O165" s="280">
        <f t="shared" si="50"/>
        <v>149.52006299999999</v>
      </c>
      <c r="P165" s="210">
        <f t="shared" si="50"/>
        <v>149.52006299999999</v>
      </c>
    </row>
    <row r="166" spans="1:16" s="27" customFormat="1" ht="15" customHeight="1" thickBot="1">
      <c r="A166" s="304">
        <v>9487</v>
      </c>
      <c r="B166" s="507" t="s">
        <v>242</v>
      </c>
      <c r="C166" s="478">
        <v>1</v>
      </c>
      <c r="D166" s="303"/>
      <c r="E166" s="209">
        <v>13</v>
      </c>
      <c r="F166" s="209">
        <v>13</v>
      </c>
      <c r="G166" s="292" t="s">
        <v>38</v>
      </c>
      <c r="H166" s="236">
        <f>IF($G166="P",$F166*$H$19,IF($G166="A",$H$19*$F166,IF($G166="L",0%*$F166)))</f>
        <v>0</v>
      </c>
      <c r="I166" s="236">
        <f>$F166*$I$19</f>
        <v>0.26</v>
      </c>
      <c r="J166" s="236">
        <f>F166*$J$19</f>
        <v>0.13</v>
      </c>
      <c r="K166" s="239">
        <f t="shared" si="41"/>
        <v>1.8746000000000003</v>
      </c>
      <c r="L166" s="275"/>
      <c r="M166" s="287">
        <f t="shared" si="50"/>
        <v>15.4869</v>
      </c>
      <c r="N166" s="280">
        <f t="shared" si="50"/>
        <v>15.4869</v>
      </c>
      <c r="O166" s="280">
        <f t="shared" si="50"/>
        <v>15.4869</v>
      </c>
      <c r="P166" s="210">
        <f t="shared" si="50"/>
        <v>15.4869</v>
      </c>
    </row>
    <row r="167" spans="1:16" s="26" customFormat="1" ht="15" customHeight="1">
      <c r="A167" s="361" t="s">
        <v>174</v>
      </c>
      <c r="B167" s="508"/>
      <c r="C167" s="481"/>
      <c r="D167" s="305"/>
      <c r="E167" s="246"/>
      <c r="F167" s="246"/>
      <c r="G167" s="306"/>
      <c r="H167" s="307"/>
      <c r="I167" s="307"/>
      <c r="J167" s="308"/>
      <c r="K167" s="244"/>
      <c r="L167" s="281"/>
      <c r="M167" s="309"/>
      <c r="N167" s="309"/>
      <c r="O167" s="309"/>
      <c r="P167" s="310"/>
    </row>
    <row r="168" spans="1:16" s="26" customFormat="1" ht="15" customHeight="1">
      <c r="A168" s="304">
        <v>8601</v>
      </c>
      <c r="B168" s="501" t="s">
        <v>24</v>
      </c>
      <c r="C168" s="478">
        <v>100</v>
      </c>
      <c r="D168" s="273"/>
      <c r="E168" s="209">
        <v>22.63</v>
      </c>
      <c r="F168" s="209">
        <v>22.63</v>
      </c>
      <c r="G168" s="273" t="s">
        <v>38</v>
      </c>
      <c r="H168" s="209">
        <f>IF($G168="P",$F168*$H$19,IF($G168="A",$H$19*$F168,IF($G168="L",0%*$F168)))</f>
        <v>0</v>
      </c>
      <c r="I168" s="209">
        <f>$F168*$I$19</f>
        <v>0.4526</v>
      </c>
      <c r="J168" s="209">
        <f>F168*$J$19</f>
        <v>0.2263</v>
      </c>
      <c r="K168" s="218">
        <f t="shared" si="41"/>
        <v>3.2632460000000001</v>
      </c>
      <c r="L168" s="275"/>
      <c r="M168" s="287">
        <f>(($F168+$H168+3.5%*$F168+$J168))*1.14</f>
        <v>26.959118999999994</v>
      </c>
      <c r="N168" s="280">
        <f t="shared" ref="N168:P169" si="51">(($F168+$H168+3.5%*$F168+$J168))*1.14</f>
        <v>26.959118999999994</v>
      </c>
      <c r="O168" s="280">
        <f t="shared" si="51"/>
        <v>26.959118999999994</v>
      </c>
      <c r="P168" s="210">
        <f t="shared" si="51"/>
        <v>26.959118999999994</v>
      </c>
    </row>
    <row r="169" spans="1:16" s="26" customFormat="1" ht="15" customHeight="1">
      <c r="A169" s="304">
        <v>8602</v>
      </c>
      <c r="B169" s="501" t="s">
        <v>25</v>
      </c>
      <c r="C169" s="478">
        <v>100</v>
      </c>
      <c r="D169" s="273"/>
      <c r="E169" s="209">
        <v>53.6</v>
      </c>
      <c r="F169" s="209">
        <v>53.6</v>
      </c>
      <c r="G169" s="273" t="s">
        <v>38</v>
      </c>
      <c r="H169" s="209">
        <f>IF($G169="P",$F169*$H$19,IF($G169="A",$H$19*$F169,IF($G169="L",0%*$F169)))</f>
        <v>0</v>
      </c>
      <c r="I169" s="209">
        <f>$F169*$I$19</f>
        <v>1.0720000000000001</v>
      </c>
      <c r="J169" s="209">
        <f>F169*$J$19</f>
        <v>0.53600000000000003</v>
      </c>
      <c r="K169" s="218">
        <f t="shared" si="41"/>
        <v>7.7291200000000018</v>
      </c>
      <c r="L169" s="275"/>
      <c r="M169" s="287">
        <f>(($F169+$H169+3.5%*$F169+$J169))*1.14</f>
        <v>63.853679999999997</v>
      </c>
      <c r="N169" s="280">
        <f t="shared" si="51"/>
        <v>63.853679999999997</v>
      </c>
      <c r="O169" s="280">
        <f t="shared" si="51"/>
        <v>63.853679999999997</v>
      </c>
      <c r="P169" s="210">
        <f t="shared" si="51"/>
        <v>63.853679999999997</v>
      </c>
    </row>
    <row r="170" spans="1:16" s="26" customFormat="1" ht="15" customHeight="1">
      <c r="A170" s="360" t="s">
        <v>172</v>
      </c>
      <c r="B170" s="359"/>
      <c r="C170" s="459"/>
      <c r="D170" s="311"/>
      <c r="E170" s="213"/>
      <c r="F170" s="213"/>
      <c r="G170" s="312"/>
      <c r="H170" s="213"/>
      <c r="I170" s="213"/>
      <c r="J170" s="213"/>
      <c r="K170" s="213"/>
      <c r="L170" s="281"/>
      <c r="M170" s="309"/>
      <c r="N170" s="309"/>
      <c r="O170" s="309"/>
      <c r="P170" s="310"/>
    </row>
    <row r="171" spans="1:16" s="26" customFormat="1" ht="15" customHeight="1">
      <c r="A171" s="251" t="s">
        <v>143</v>
      </c>
      <c r="B171" s="509" t="s">
        <v>203</v>
      </c>
      <c r="C171" s="461">
        <v>1</v>
      </c>
      <c r="D171" s="273"/>
      <c r="E171" s="209">
        <v>1.095</v>
      </c>
      <c r="F171" s="209">
        <v>1.095</v>
      </c>
      <c r="G171" s="274" t="s">
        <v>38</v>
      </c>
      <c r="H171" s="209">
        <v>0</v>
      </c>
      <c r="I171" s="209">
        <f>$F171*$I$19</f>
        <v>2.1899999999999999E-2</v>
      </c>
      <c r="J171" s="209">
        <f>F171*$J$19</f>
        <v>1.095E-2</v>
      </c>
      <c r="K171" s="218">
        <f>(F171+H171+I171)*$K$19</f>
        <v>0.156366</v>
      </c>
      <c r="L171" s="275"/>
      <c r="M171" s="287">
        <f>(($F171+$H171+3.5%*$F171+$J171))*1.14</f>
        <v>1.3044734999999998</v>
      </c>
      <c r="N171" s="280">
        <f t="shared" ref="N171:P172" si="52">(($F171+$H171+3.5%*$F171+$J171))*1.14</f>
        <v>1.3044734999999998</v>
      </c>
      <c r="O171" s="280">
        <f t="shared" si="52"/>
        <v>1.3044734999999998</v>
      </c>
      <c r="P171" s="210">
        <f t="shared" si="52"/>
        <v>1.3044734999999998</v>
      </c>
    </row>
    <row r="172" spans="1:16" s="27" customFormat="1" ht="15" customHeight="1">
      <c r="A172" s="298">
        <v>7698</v>
      </c>
      <c r="B172" s="501" t="s">
        <v>139</v>
      </c>
      <c r="C172" s="478">
        <v>1</v>
      </c>
      <c r="D172" s="273"/>
      <c r="E172" s="209">
        <v>107.86845000000001</v>
      </c>
      <c r="F172" s="209">
        <v>107.86845000000001</v>
      </c>
      <c r="G172" s="273" t="s">
        <v>38</v>
      </c>
      <c r="H172" s="209">
        <v>0</v>
      </c>
      <c r="I172" s="209">
        <f>$F172*$I$19</f>
        <v>2.1573690000000001</v>
      </c>
      <c r="J172" s="209">
        <f t="shared" ref="J172:J209" si="53">F172*$J$19</f>
        <v>1.0786845</v>
      </c>
      <c r="K172" s="218">
        <f>(F172+H172+I172)*$K$19</f>
        <v>15.403614660000004</v>
      </c>
      <c r="L172" s="275"/>
      <c r="M172" s="287">
        <f>(($F172+$H172+3.5%*$F172+$J172))*1.14</f>
        <v>128.50368448500001</v>
      </c>
      <c r="N172" s="280">
        <f t="shared" si="52"/>
        <v>128.50368448500001</v>
      </c>
      <c r="O172" s="280">
        <f t="shared" si="52"/>
        <v>128.50368448500001</v>
      </c>
      <c r="P172" s="210">
        <f t="shared" si="52"/>
        <v>128.50368448500001</v>
      </c>
    </row>
    <row r="173" spans="1:16" s="27" customFormat="1" ht="15" customHeight="1">
      <c r="A173" s="360" t="s">
        <v>72</v>
      </c>
      <c r="B173" s="359"/>
      <c r="C173" s="479"/>
      <c r="D173" s="299"/>
      <c r="E173" s="213"/>
      <c r="F173" s="213"/>
      <c r="G173" s="299"/>
      <c r="H173" s="299"/>
      <c r="I173" s="299"/>
      <c r="J173" s="213"/>
      <c r="K173" s="267"/>
      <c r="L173" s="281"/>
      <c r="M173" s="313"/>
      <c r="N173" s="313"/>
      <c r="O173" s="313"/>
      <c r="P173" s="314"/>
    </row>
    <row r="174" spans="1:16" s="27" customFormat="1" ht="15" customHeight="1">
      <c r="A174" s="315">
        <v>8711</v>
      </c>
      <c r="B174" s="489" t="s">
        <v>239</v>
      </c>
      <c r="C174" s="478">
        <v>1</v>
      </c>
      <c r="D174" s="273">
        <v>0.75</v>
      </c>
      <c r="E174" s="209">
        <v>44.17</v>
      </c>
      <c r="F174" s="209">
        <v>44.17</v>
      </c>
      <c r="G174" s="285" t="s">
        <v>39</v>
      </c>
      <c r="H174" s="209">
        <f>IF($G174="P",$F174*$H$19,IF($G174="A",$H$19*$F174,IF($G174="L",0%*$F174)))</f>
        <v>3.0919000000000003</v>
      </c>
      <c r="I174" s="209">
        <f>$F174*$I$19</f>
        <v>0.88340000000000007</v>
      </c>
      <c r="J174" s="209">
        <f>F174*$J$19</f>
        <v>0.44170000000000004</v>
      </c>
      <c r="K174" s="218">
        <f>(F174+H140+I174+J174)*$K$19</f>
        <v>6.369314000000001</v>
      </c>
      <c r="L174" s="275"/>
      <c r="M174" s="287">
        <f>(($F174+$H174+3.5%*$F174+$J174))*1.14</f>
        <v>56.144486999999991</v>
      </c>
      <c r="N174" s="280">
        <f>(($F174+$H174+3.5%*$F174+$J174))*1.14</f>
        <v>56.144486999999991</v>
      </c>
      <c r="O174" s="280">
        <f>(($F174+$H174+3.5%*$F174+$J174))*1.14</f>
        <v>56.144486999999991</v>
      </c>
      <c r="P174" s="210">
        <f>(($F174+$H174+3.5%*$F174+$J174))*1.14</f>
        <v>56.144486999999991</v>
      </c>
    </row>
    <row r="175" spans="1:16" s="27" customFormat="1" ht="15" customHeight="1">
      <c r="A175" s="315">
        <v>8710</v>
      </c>
      <c r="B175" s="489" t="s">
        <v>240</v>
      </c>
      <c r="C175" s="478">
        <v>1</v>
      </c>
      <c r="D175" s="273">
        <v>0.95</v>
      </c>
      <c r="E175" s="209">
        <v>49.07</v>
      </c>
      <c r="F175" s="209">
        <v>49.07</v>
      </c>
      <c r="G175" s="285" t="s">
        <v>39</v>
      </c>
      <c r="H175" s="209">
        <f>IF($G175="P",$F175*$H$19,IF($G175="A",$H$19*$F175,IF($G175="L",0%*$F175)))</f>
        <v>3.4349000000000003</v>
      </c>
      <c r="I175" s="209">
        <f>$F175*$I$19</f>
        <v>0.98140000000000005</v>
      </c>
      <c r="J175" s="209">
        <f>F175*$J$19</f>
        <v>0.49070000000000003</v>
      </c>
      <c r="K175" s="218">
        <f t="shared" ref="K175:K220" si="54">(F175+H175+I175+J175)*$K$19</f>
        <v>7.5567799999999998</v>
      </c>
      <c r="L175" s="275"/>
      <c r="M175" s="287">
        <f t="shared" ref="M175:P206" si="55">(($F175+$H175+3.5%*$F175+$J175))*1.14</f>
        <v>62.372876999999988</v>
      </c>
      <c r="N175" s="280">
        <f t="shared" si="55"/>
        <v>62.372876999999988</v>
      </c>
      <c r="O175" s="280">
        <f t="shared" si="55"/>
        <v>62.372876999999988</v>
      </c>
      <c r="P175" s="210">
        <f t="shared" si="55"/>
        <v>62.372876999999988</v>
      </c>
    </row>
    <row r="176" spans="1:16" s="27" customFormat="1" ht="15" customHeight="1">
      <c r="A176" s="315">
        <v>8705</v>
      </c>
      <c r="B176" s="510" t="s">
        <v>241</v>
      </c>
      <c r="C176" s="478">
        <v>1</v>
      </c>
      <c r="D176" s="273">
        <v>1.65</v>
      </c>
      <c r="E176" s="209">
        <v>62.32</v>
      </c>
      <c r="F176" s="209">
        <v>62.32</v>
      </c>
      <c r="G176" s="285" t="s">
        <v>39</v>
      </c>
      <c r="H176" s="209">
        <f>IF($G176="P",$F176*$H$19,IF($G176="A",$H$19*$F176,IF($G176="L",0%*$F176)))</f>
        <v>4.3624000000000001</v>
      </c>
      <c r="I176" s="209">
        <f>$F176*$I$19</f>
        <v>1.2464</v>
      </c>
      <c r="J176" s="209">
        <f>F176*$J$19</f>
        <v>0.62319999999999998</v>
      </c>
      <c r="K176" s="218">
        <f t="shared" si="54"/>
        <v>9.5972799999999996</v>
      </c>
      <c r="L176" s="275"/>
      <c r="M176" s="287">
        <f t="shared" si="55"/>
        <v>79.214951999999997</v>
      </c>
      <c r="N176" s="280">
        <f t="shared" si="55"/>
        <v>79.214951999999997</v>
      </c>
      <c r="O176" s="280">
        <f t="shared" si="55"/>
        <v>79.214951999999997</v>
      </c>
      <c r="P176" s="210">
        <f t="shared" si="55"/>
        <v>79.214951999999997</v>
      </c>
    </row>
    <row r="177" spans="1:16" s="26" customFormat="1" ht="15" customHeight="1">
      <c r="A177" s="298">
        <v>8498</v>
      </c>
      <c r="B177" s="501" t="s">
        <v>201</v>
      </c>
      <c r="C177" s="480">
        <v>5</v>
      </c>
      <c r="D177" s="273">
        <v>1.3</v>
      </c>
      <c r="E177" s="209">
        <v>75.28</v>
      </c>
      <c r="F177" s="209">
        <v>75.28</v>
      </c>
      <c r="G177" s="285" t="s">
        <v>39</v>
      </c>
      <c r="H177" s="209">
        <f>IF($G177="P",$F177*$H$19,IF($G177="A",$H$19*$F177,IF($G177="L",0%*$F177)))</f>
        <v>5.2696000000000005</v>
      </c>
      <c r="I177" s="209">
        <f>$F177*$I$19</f>
        <v>1.5056</v>
      </c>
      <c r="J177" s="209">
        <f t="shared" si="53"/>
        <v>0.75280000000000002</v>
      </c>
      <c r="K177" s="218">
        <f t="shared" si="54"/>
        <v>11.593120000000001</v>
      </c>
      <c r="L177" s="275"/>
      <c r="M177" s="287">
        <f t="shared" si="55"/>
        <v>95.688407999999981</v>
      </c>
      <c r="N177" s="280">
        <f t="shared" si="55"/>
        <v>95.688407999999981</v>
      </c>
      <c r="O177" s="280">
        <f t="shared" si="55"/>
        <v>95.688407999999981</v>
      </c>
      <c r="P177" s="210">
        <f t="shared" si="55"/>
        <v>95.688407999999981</v>
      </c>
    </row>
    <row r="178" spans="1:16" s="27" customFormat="1" ht="15" customHeight="1" thickBot="1">
      <c r="A178" s="525">
        <v>8461</v>
      </c>
      <c r="B178" s="526" t="s">
        <v>202</v>
      </c>
      <c r="C178" s="527">
        <v>5</v>
      </c>
      <c r="D178" s="342">
        <v>1.3</v>
      </c>
      <c r="E178" s="247">
        <v>75.28</v>
      </c>
      <c r="F178" s="247">
        <v>75.28</v>
      </c>
      <c r="G178" s="422" t="s">
        <v>39</v>
      </c>
      <c r="H178" s="247">
        <v>5.27</v>
      </c>
      <c r="I178" s="247">
        <v>3.76</v>
      </c>
      <c r="J178" s="247">
        <f t="shared" si="53"/>
        <v>0.75280000000000002</v>
      </c>
      <c r="K178" s="343">
        <f t="shared" si="54"/>
        <v>11.908792</v>
      </c>
      <c r="L178" s="275"/>
      <c r="M178" s="276">
        <f t="shared" si="55"/>
        <v>95.688863999999981</v>
      </c>
      <c r="N178" s="278">
        <f t="shared" si="55"/>
        <v>95.688863999999981</v>
      </c>
      <c r="O178" s="278">
        <f t="shared" si="55"/>
        <v>95.688863999999981</v>
      </c>
      <c r="P178" s="279">
        <f t="shared" si="55"/>
        <v>95.688863999999981</v>
      </c>
    </row>
    <row r="179" spans="1:16" s="26" customFormat="1" ht="15" customHeight="1">
      <c r="A179" s="528">
        <v>7123</v>
      </c>
      <c r="B179" s="529" t="s">
        <v>77</v>
      </c>
      <c r="C179" s="530">
        <v>10</v>
      </c>
      <c r="D179" s="269">
        <v>0.75</v>
      </c>
      <c r="E179" s="270">
        <v>40.270000000000003</v>
      </c>
      <c r="F179" s="270">
        <v>40.270000000000003</v>
      </c>
      <c r="G179" s="269" t="s">
        <v>39</v>
      </c>
      <c r="H179" s="270">
        <f>IF($G179="P",$F179*$H$19,IF($G179="A",$H$19*$F179,IF($G179="L",0%*$F179)))</f>
        <v>2.8189000000000006</v>
      </c>
      <c r="I179" s="270">
        <f t="shared" ref="I179:I186" si="56">$F179*$I$19</f>
        <v>0.80540000000000012</v>
      </c>
      <c r="J179" s="270">
        <f t="shared" si="53"/>
        <v>0.40270000000000006</v>
      </c>
      <c r="K179" s="344">
        <f t="shared" si="54"/>
        <v>6.2015800000000008</v>
      </c>
      <c r="L179" s="271"/>
      <c r="M179" s="531">
        <f t="shared" si="55"/>
        <v>51.187197000000005</v>
      </c>
      <c r="N179" s="272">
        <f t="shared" si="55"/>
        <v>51.187197000000005</v>
      </c>
      <c r="O179" s="272">
        <f t="shared" si="55"/>
        <v>51.187197000000005</v>
      </c>
      <c r="P179" s="440">
        <f t="shared" si="55"/>
        <v>51.187197000000005</v>
      </c>
    </row>
    <row r="180" spans="1:16" s="26" customFormat="1" ht="15" customHeight="1">
      <c r="A180" s="298">
        <v>8682</v>
      </c>
      <c r="B180" s="501" t="s">
        <v>275</v>
      </c>
      <c r="C180" s="478">
        <v>1</v>
      </c>
      <c r="D180" s="273">
        <v>0.45</v>
      </c>
      <c r="E180" s="209">
        <v>28.98</v>
      </c>
      <c r="F180" s="209">
        <v>28.98</v>
      </c>
      <c r="G180" s="273" t="s">
        <v>39</v>
      </c>
      <c r="H180" s="209">
        <f>IF($G180="P",$F180*$H$19,IF($G180="A",$H$19*$F180,IF($G180="L",0%*$F180)))</f>
        <v>2.0286000000000004</v>
      </c>
      <c r="I180" s="209">
        <f t="shared" si="56"/>
        <v>0.5796</v>
      </c>
      <c r="J180" s="209">
        <f t="shared" si="53"/>
        <v>0.2898</v>
      </c>
      <c r="K180" s="218">
        <f t="shared" si="54"/>
        <v>4.4629200000000004</v>
      </c>
      <c r="L180" s="275"/>
      <c r="M180" s="287">
        <f t="shared" si="55"/>
        <v>36.836478</v>
      </c>
      <c r="N180" s="280">
        <f t="shared" si="55"/>
        <v>36.836478</v>
      </c>
      <c r="O180" s="280">
        <f t="shared" si="55"/>
        <v>36.836478</v>
      </c>
      <c r="P180" s="210">
        <f t="shared" si="55"/>
        <v>36.836478</v>
      </c>
    </row>
    <row r="181" spans="1:16" s="26" customFormat="1" ht="15" customHeight="1">
      <c r="A181" s="298">
        <v>8683</v>
      </c>
      <c r="B181" s="501" t="s">
        <v>277</v>
      </c>
      <c r="C181" s="478">
        <v>5</v>
      </c>
      <c r="D181" s="273">
        <v>0.75</v>
      </c>
      <c r="E181" s="209">
        <v>48.3</v>
      </c>
      <c r="F181" s="209">
        <v>48.3</v>
      </c>
      <c r="G181" s="273" t="s">
        <v>39</v>
      </c>
      <c r="H181" s="209">
        <f t="shared" ref="H181:H186" si="57">IF($G181="P",$F181*$H$19,IF($G181="A",$H$19*$F181,IF($G181="L",0%*$F181)))</f>
        <v>3.3810000000000002</v>
      </c>
      <c r="I181" s="209">
        <f t="shared" si="56"/>
        <v>0.96599999999999997</v>
      </c>
      <c r="J181" s="209">
        <f t="shared" si="53"/>
        <v>0.48299999999999998</v>
      </c>
      <c r="K181" s="218">
        <f t="shared" si="54"/>
        <v>7.4382000000000001</v>
      </c>
      <c r="L181" s="275"/>
      <c r="M181" s="287">
        <f t="shared" si="55"/>
        <v>61.39412999999999</v>
      </c>
      <c r="N181" s="280">
        <f t="shared" si="55"/>
        <v>61.39412999999999</v>
      </c>
      <c r="O181" s="280">
        <f t="shared" si="55"/>
        <v>61.39412999999999</v>
      </c>
      <c r="P181" s="210">
        <f t="shared" si="55"/>
        <v>61.39412999999999</v>
      </c>
    </row>
    <row r="182" spans="1:16" s="26" customFormat="1" ht="15" customHeight="1">
      <c r="A182" s="298">
        <v>8684</v>
      </c>
      <c r="B182" s="501" t="s">
        <v>276</v>
      </c>
      <c r="C182" s="478">
        <v>5</v>
      </c>
      <c r="D182" s="273">
        <v>0.75</v>
      </c>
      <c r="E182" s="209">
        <v>48.3</v>
      </c>
      <c r="F182" s="209">
        <v>48.3</v>
      </c>
      <c r="G182" s="273" t="s">
        <v>39</v>
      </c>
      <c r="H182" s="209">
        <f t="shared" si="57"/>
        <v>3.3810000000000002</v>
      </c>
      <c r="I182" s="209">
        <f t="shared" si="56"/>
        <v>0.96599999999999997</v>
      </c>
      <c r="J182" s="209">
        <f t="shared" si="53"/>
        <v>0.48299999999999998</v>
      </c>
      <c r="K182" s="218">
        <f t="shared" si="54"/>
        <v>7.4382000000000001</v>
      </c>
      <c r="L182" s="275"/>
      <c r="M182" s="287">
        <f t="shared" si="55"/>
        <v>61.39412999999999</v>
      </c>
      <c r="N182" s="280">
        <f t="shared" si="55"/>
        <v>61.39412999999999</v>
      </c>
      <c r="O182" s="280">
        <f t="shared" si="55"/>
        <v>61.39412999999999</v>
      </c>
      <c r="P182" s="210">
        <f t="shared" si="55"/>
        <v>61.39412999999999</v>
      </c>
    </row>
    <row r="183" spans="1:16" s="26" customFormat="1" ht="15" customHeight="1">
      <c r="A183" s="298">
        <v>8685</v>
      </c>
      <c r="B183" s="501" t="s">
        <v>278</v>
      </c>
      <c r="C183" s="478">
        <v>5</v>
      </c>
      <c r="D183" s="273">
        <v>0.75</v>
      </c>
      <c r="E183" s="209">
        <v>48.3</v>
      </c>
      <c r="F183" s="209">
        <v>48.3</v>
      </c>
      <c r="G183" s="273" t="s">
        <v>39</v>
      </c>
      <c r="H183" s="209">
        <f t="shared" si="57"/>
        <v>3.3810000000000002</v>
      </c>
      <c r="I183" s="209">
        <f t="shared" si="56"/>
        <v>0.96599999999999997</v>
      </c>
      <c r="J183" s="209">
        <f t="shared" si="53"/>
        <v>0.48299999999999998</v>
      </c>
      <c r="K183" s="218">
        <f t="shared" si="54"/>
        <v>7.4382000000000001</v>
      </c>
      <c r="L183" s="275"/>
      <c r="M183" s="287">
        <f t="shared" si="55"/>
        <v>61.39412999999999</v>
      </c>
      <c r="N183" s="280">
        <f t="shared" si="55"/>
        <v>61.39412999999999</v>
      </c>
      <c r="O183" s="280">
        <f t="shared" si="55"/>
        <v>61.39412999999999</v>
      </c>
      <c r="P183" s="210">
        <f t="shared" si="55"/>
        <v>61.39412999999999</v>
      </c>
    </row>
    <row r="184" spans="1:16" s="26" customFormat="1" ht="15" customHeight="1">
      <c r="A184" s="298">
        <v>8686</v>
      </c>
      <c r="B184" s="501" t="s">
        <v>279</v>
      </c>
      <c r="C184" s="478">
        <v>5</v>
      </c>
      <c r="D184" s="273">
        <v>0.75</v>
      </c>
      <c r="E184" s="209">
        <v>48.3</v>
      </c>
      <c r="F184" s="209">
        <v>48.3</v>
      </c>
      <c r="G184" s="273" t="s">
        <v>39</v>
      </c>
      <c r="H184" s="209">
        <f t="shared" si="57"/>
        <v>3.3810000000000002</v>
      </c>
      <c r="I184" s="209">
        <f t="shared" si="56"/>
        <v>0.96599999999999997</v>
      </c>
      <c r="J184" s="209">
        <f t="shared" si="53"/>
        <v>0.48299999999999998</v>
      </c>
      <c r="K184" s="218">
        <f t="shared" si="54"/>
        <v>7.4382000000000001</v>
      </c>
      <c r="L184" s="275"/>
      <c r="M184" s="287">
        <f t="shared" si="55"/>
        <v>61.39412999999999</v>
      </c>
      <c r="N184" s="280">
        <f t="shared" si="55"/>
        <v>61.39412999999999</v>
      </c>
      <c r="O184" s="280">
        <f t="shared" si="55"/>
        <v>61.39412999999999</v>
      </c>
      <c r="P184" s="210">
        <f t="shared" si="55"/>
        <v>61.39412999999999</v>
      </c>
    </row>
    <row r="185" spans="1:16" s="26" customFormat="1" ht="15" customHeight="1">
      <c r="A185" s="298">
        <v>8687</v>
      </c>
      <c r="B185" s="501" t="s">
        <v>280</v>
      </c>
      <c r="C185" s="478">
        <v>5</v>
      </c>
      <c r="D185" s="273">
        <v>0.75</v>
      </c>
      <c r="E185" s="209">
        <v>48.3</v>
      </c>
      <c r="F185" s="209">
        <v>48.3</v>
      </c>
      <c r="G185" s="273" t="s">
        <v>39</v>
      </c>
      <c r="H185" s="209">
        <f t="shared" si="57"/>
        <v>3.3810000000000002</v>
      </c>
      <c r="I185" s="209">
        <f t="shared" si="56"/>
        <v>0.96599999999999997</v>
      </c>
      <c r="J185" s="209">
        <f t="shared" si="53"/>
        <v>0.48299999999999998</v>
      </c>
      <c r="K185" s="218">
        <f t="shared" si="54"/>
        <v>7.4382000000000001</v>
      </c>
      <c r="L185" s="275"/>
      <c r="M185" s="287">
        <f t="shared" si="55"/>
        <v>61.39412999999999</v>
      </c>
      <c r="N185" s="280">
        <f t="shared" si="55"/>
        <v>61.39412999999999</v>
      </c>
      <c r="O185" s="280">
        <f t="shared" si="55"/>
        <v>61.39412999999999</v>
      </c>
      <c r="P185" s="210">
        <f t="shared" si="55"/>
        <v>61.39412999999999</v>
      </c>
    </row>
    <row r="186" spans="1:16" s="26" customFormat="1" ht="15" customHeight="1">
      <c r="A186" s="298">
        <v>8688</v>
      </c>
      <c r="B186" s="501" t="s">
        <v>281</v>
      </c>
      <c r="C186" s="478">
        <v>5</v>
      </c>
      <c r="D186" s="273">
        <v>0.75</v>
      </c>
      <c r="E186" s="209">
        <v>48.3</v>
      </c>
      <c r="F186" s="209">
        <v>48.3</v>
      </c>
      <c r="G186" s="273" t="s">
        <v>39</v>
      </c>
      <c r="H186" s="209">
        <f t="shared" si="57"/>
        <v>3.3810000000000002</v>
      </c>
      <c r="I186" s="209">
        <f t="shared" si="56"/>
        <v>0.96599999999999997</v>
      </c>
      <c r="J186" s="209">
        <f t="shared" si="53"/>
        <v>0.48299999999999998</v>
      </c>
      <c r="K186" s="218">
        <f t="shared" si="54"/>
        <v>7.4382000000000001</v>
      </c>
      <c r="L186" s="275"/>
      <c r="M186" s="276">
        <f t="shared" si="55"/>
        <v>61.39412999999999</v>
      </c>
      <c r="N186" s="278">
        <f t="shared" si="55"/>
        <v>61.39412999999999</v>
      </c>
      <c r="O186" s="278">
        <f t="shared" si="55"/>
        <v>61.39412999999999</v>
      </c>
      <c r="P186" s="279">
        <f t="shared" si="55"/>
        <v>61.39412999999999</v>
      </c>
    </row>
    <row r="187" spans="1:16" s="26" customFormat="1" ht="15" customHeight="1" thickBot="1">
      <c r="A187" s="363">
        <v>7640</v>
      </c>
      <c r="B187" s="501" t="s">
        <v>189</v>
      </c>
      <c r="C187" s="478">
        <v>1</v>
      </c>
      <c r="D187" s="273">
        <v>2.25</v>
      </c>
      <c r="E187" s="209">
        <v>126</v>
      </c>
      <c r="F187" s="221">
        <v>126</v>
      </c>
      <c r="G187" s="331" t="s">
        <v>39</v>
      </c>
      <c r="H187" s="236">
        <f t="shared" ref="H187:H206" si="58">IF($G187="P",$F187*$H$19,IF($G187="A",$H$19*$F187,IF($G187="L",0%*$F187)))</f>
        <v>8.82</v>
      </c>
      <c r="I187" s="236">
        <f t="shared" ref="I187:I206" si="59">$F187*$I$19</f>
        <v>2.52</v>
      </c>
      <c r="J187" s="236">
        <f t="shared" si="53"/>
        <v>1.26</v>
      </c>
      <c r="K187" s="239">
        <f t="shared" si="54"/>
        <v>19.404</v>
      </c>
      <c r="L187" s="281"/>
      <c r="M187" s="532">
        <f t="shared" si="55"/>
        <v>160.15859999999995</v>
      </c>
      <c r="N187" s="280">
        <f t="shared" si="55"/>
        <v>160.15859999999995</v>
      </c>
      <c r="O187" s="280">
        <f t="shared" si="55"/>
        <v>160.15859999999995</v>
      </c>
      <c r="P187" s="182">
        <f t="shared" si="55"/>
        <v>160.15859999999995</v>
      </c>
    </row>
    <row r="188" spans="1:16" s="26" customFormat="1" ht="15" customHeight="1">
      <c r="A188" s="318">
        <v>8124</v>
      </c>
      <c r="B188" s="511" t="s">
        <v>73</v>
      </c>
      <c r="C188" s="482">
        <v>10</v>
      </c>
      <c r="D188" s="294">
        <v>0.75</v>
      </c>
      <c r="E188" s="225">
        <v>38.119999999999997</v>
      </c>
      <c r="F188" s="226">
        <v>38.119999999999997</v>
      </c>
      <c r="G188" s="533" t="s">
        <v>39</v>
      </c>
      <c r="H188" s="270">
        <f>IF($G188="P",$F188*$H$19,IF($G188="A",$H$19*$F188,IF($G188="L",0%*$F188)))</f>
        <v>2.6684000000000001</v>
      </c>
      <c r="I188" s="270">
        <f>$F188*$I$19</f>
        <v>0.76239999999999997</v>
      </c>
      <c r="J188" s="270">
        <f t="shared" si="53"/>
        <v>0.38119999999999998</v>
      </c>
      <c r="K188" s="344">
        <f t="shared" si="54"/>
        <v>5.8704799999999997</v>
      </c>
      <c r="L188" s="364"/>
      <c r="M188" s="532">
        <f t="shared" si="55"/>
        <v>48.454331999999994</v>
      </c>
      <c r="N188" s="280">
        <f t="shared" si="55"/>
        <v>48.454331999999994</v>
      </c>
      <c r="O188" s="280">
        <f t="shared" si="55"/>
        <v>48.454331999999994</v>
      </c>
      <c r="P188" s="182">
        <f t="shared" si="55"/>
        <v>48.454331999999994</v>
      </c>
    </row>
    <row r="189" spans="1:16" s="26" customFormat="1" ht="15" customHeight="1">
      <c r="A189" s="298">
        <v>8125</v>
      </c>
      <c r="B189" s="501" t="s">
        <v>70</v>
      </c>
      <c r="C189" s="478">
        <v>1</v>
      </c>
      <c r="D189" s="273">
        <v>0.45</v>
      </c>
      <c r="E189" s="209">
        <v>19.399999999999999</v>
      </c>
      <c r="F189" s="221">
        <v>19.399999999999999</v>
      </c>
      <c r="G189" s="326" t="s">
        <v>39</v>
      </c>
      <c r="H189" s="209">
        <f>IF($G189="P",$F189*$H$19,IF($G189="A",$H$19*$F189,IF($G189="L",0%*$F189)))</f>
        <v>1.3580000000000001</v>
      </c>
      <c r="I189" s="209">
        <f>$F189*$I$19</f>
        <v>0.38799999999999996</v>
      </c>
      <c r="J189" s="209">
        <f t="shared" si="53"/>
        <v>0.19399999999999998</v>
      </c>
      <c r="K189" s="218">
        <f t="shared" si="54"/>
        <v>2.9876000000000005</v>
      </c>
      <c r="L189" s="275"/>
      <c r="M189" s="296">
        <f t="shared" si="55"/>
        <v>24.659339999999993</v>
      </c>
      <c r="N189" s="297">
        <f t="shared" si="55"/>
        <v>24.659339999999993</v>
      </c>
      <c r="O189" s="297">
        <f t="shared" si="55"/>
        <v>24.659339999999993</v>
      </c>
      <c r="P189" s="231">
        <f t="shared" si="55"/>
        <v>24.659339999999993</v>
      </c>
    </row>
    <row r="190" spans="1:16" s="26" customFormat="1" ht="15" customHeight="1">
      <c r="A190" s="298">
        <v>8128</v>
      </c>
      <c r="B190" s="501" t="s">
        <v>75</v>
      </c>
      <c r="C190" s="478">
        <v>1</v>
      </c>
      <c r="D190" s="273">
        <v>0.6</v>
      </c>
      <c r="E190" s="209">
        <v>34.51</v>
      </c>
      <c r="F190" s="209">
        <v>34.51</v>
      </c>
      <c r="G190" s="273" t="s">
        <v>39</v>
      </c>
      <c r="H190" s="209">
        <f t="shared" si="58"/>
        <v>2.4157000000000002</v>
      </c>
      <c r="I190" s="209">
        <f t="shared" si="59"/>
        <v>0.69019999999999992</v>
      </c>
      <c r="J190" s="209">
        <f t="shared" si="53"/>
        <v>0.34509999999999996</v>
      </c>
      <c r="K190" s="218">
        <f t="shared" si="54"/>
        <v>5.31454</v>
      </c>
      <c r="L190" s="275"/>
      <c r="M190" s="287">
        <f t="shared" si="55"/>
        <v>43.865660999999996</v>
      </c>
      <c r="N190" s="280">
        <f t="shared" si="55"/>
        <v>43.865660999999996</v>
      </c>
      <c r="O190" s="280">
        <f t="shared" si="55"/>
        <v>43.865660999999996</v>
      </c>
      <c r="P190" s="210">
        <f t="shared" si="55"/>
        <v>43.865660999999996</v>
      </c>
    </row>
    <row r="191" spans="1:16" s="26" customFormat="1" ht="15" customHeight="1">
      <c r="A191" s="298">
        <v>8129</v>
      </c>
      <c r="B191" s="501" t="s">
        <v>71</v>
      </c>
      <c r="C191" s="478">
        <v>5</v>
      </c>
      <c r="D191" s="273">
        <v>0.7</v>
      </c>
      <c r="E191" s="209">
        <v>46.02</v>
      </c>
      <c r="F191" s="209">
        <v>46.02</v>
      </c>
      <c r="G191" s="273" t="s">
        <v>39</v>
      </c>
      <c r="H191" s="209">
        <f t="shared" si="58"/>
        <v>3.2214000000000005</v>
      </c>
      <c r="I191" s="209">
        <f t="shared" si="59"/>
        <v>0.92040000000000011</v>
      </c>
      <c r="J191" s="209">
        <f t="shared" si="53"/>
        <v>0.46020000000000005</v>
      </c>
      <c r="K191" s="218">
        <f t="shared" si="54"/>
        <v>7.087080000000002</v>
      </c>
      <c r="L191" s="275"/>
      <c r="M191" s="287">
        <f t="shared" si="55"/>
        <v>58.496022000000004</v>
      </c>
      <c r="N191" s="280">
        <f t="shared" si="55"/>
        <v>58.496022000000004</v>
      </c>
      <c r="O191" s="280">
        <f t="shared" si="55"/>
        <v>58.496022000000004</v>
      </c>
      <c r="P191" s="210">
        <f t="shared" si="55"/>
        <v>58.496022000000004</v>
      </c>
    </row>
    <row r="192" spans="1:16" s="26" customFormat="1" ht="15" customHeight="1">
      <c r="A192" s="298">
        <v>8153</v>
      </c>
      <c r="B192" s="512" t="s">
        <v>89</v>
      </c>
      <c r="C192" s="478">
        <v>10</v>
      </c>
      <c r="D192" s="273">
        <v>0.6</v>
      </c>
      <c r="E192" s="316">
        <v>39.978449999999995</v>
      </c>
      <c r="F192" s="209">
        <v>39.978449999999995</v>
      </c>
      <c r="G192" s="273" t="s">
        <v>39</v>
      </c>
      <c r="H192" s="209">
        <f t="shared" si="58"/>
        <v>2.7984914999999999</v>
      </c>
      <c r="I192" s="209">
        <f t="shared" si="59"/>
        <v>0.79956899999999997</v>
      </c>
      <c r="J192" s="209">
        <f t="shared" si="53"/>
        <v>0.39978449999999999</v>
      </c>
      <c r="K192" s="218">
        <f t="shared" si="54"/>
        <v>6.1566812999999998</v>
      </c>
      <c r="L192" s="275"/>
      <c r="M192" s="287">
        <f t="shared" si="55"/>
        <v>50.816607794999989</v>
      </c>
      <c r="N192" s="280">
        <f t="shared" si="55"/>
        <v>50.816607794999989</v>
      </c>
      <c r="O192" s="280">
        <f t="shared" si="55"/>
        <v>50.816607794999989</v>
      </c>
      <c r="P192" s="210">
        <f t="shared" si="55"/>
        <v>50.816607794999989</v>
      </c>
    </row>
    <row r="193" spans="1:16" s="26" customFormat="1" ht="15" customHeight="1">
      <c r="A193" s="317">
        <v>8262</v>
      </c>
      <c r="B193" s="513" t="s">
        <v>192</v>
      </c>
      <c r="C193" s="478">
        <v>5</v>
      </c>
      <c r="D193" s="273">
        <v>1.4</v>
      </c>
      <c r="E193" s="209">
        <v>105.22</v>
      </c>
      <c r="F193" s="209">
        <v>105.22</v>
      </c>
      <c r="G193" s="273" t="s">
        <v>39</v>
      </c>
      <c r="H193" s="209">
        <f t="shared" si="58"/>
        <v>7.3654000000000011</v>
      </c>
      <c r="I193" s="209">
        <f t="shared" si="59"/>
        <v>2.1044</v>
      </c>
      <c r="J193" s="209">
        <f t="shared" si="53"/>
        <v>1.0522</v>
      </c>
      <c r="K193" s="218">
        <f t="shared" si="54"/>
        <v>16.203880000000002</v>
      </c>
      <c r="L193" s="275"/>
      <c r="M193" s="287">
        <f t="shared" si="55"/>
        <v>133.74514199999999</v>
      </c>
      <c r="N193" s="280">
        <f t="shared" si="55"/>
        <v>133.74514199999999</v>
      </c>
      <c r="O193" s="280">
        <f t="shared" si="55"/>
        <v>133.74514199999999</v>
      </c>
      <c r="P193" s="210">
        <f t="shared" si="55"/>
        <v>133.74514199999999</v>
      </c>
    </row>
    <row r="194" spans="1:16" s="26" customFormat="1" ht="15" customHeight="1">
      <c r="A194" s="195">
        <v>8300</v>
      </c>
      <c r="B194" s="514" t="s">
        <v>126</v>
      </c>
      <c r="C194" s="469">
        <v>10</v>
      </c>
      <c r="D194" s="342">
        <v>0.75</v>
      </c>
      <c r="E194" s="247">
        <v>40.270000000000003</v>
      </c>
      <c r="F194" s="247">
        <v>40.270000000000003</v>
      </c>
      <c r="G194" s="342" t="s">
        <v>39</v>
      </c>
      <c r="H194" s="247">
        <f>IF($G194="P",$F194*$H$19,IF($G194="A",$H$19*$F194,IF($G194="L",0%*$F194)))</f>
        <v>2.8189000000000006</v>
      </c>
      <c r="I194" s="247">
        <f>$F194*$I$19</f>
        <v>0.80540000000000012</v>
      </c>
      <c r="J194" s="247">
        <f t="shared" si="53"/>
        <v>0.40270000000000006</v>
      </c>
      <c r="K194" s="343">
        <f t="shared" si="54"/>
        <v>6.2015800000000008</v>
      </c>
      <c r="L194" s="275"/>
      <c r="M194" s="276">
        <f t="shared" si="55"/>
        <v>51.187197000000005</v>
      </c>
      <c r="N194" s="278">
        <f t="shared" si="55"/>
        <v>51.187197000000005</v>
      </c>
      <c r="O194" s="278">
        <f t="shared" si="55"/>
        <v>51.187197000000005</v>
      </c>
      <c r="P194" s="279">
        <f t="shared" si="55"/>
        <v>51.187197000000005</v>
      </c>
    </row>
    <row r="195" spans="1:16" s="26" customFormat="1" ht="15" customHeight="1">
      <c r="A195" s="317">
        <v>8346</v>
      </c>
      <c r="B195" s="515" t="s">
        <v>137</v>
      </c>
      <c r="C195" s="478">
        <v>5</v>
      </c>
      <c r="D195" s="273">
        <v>1.4</v>
      </c>
      <c r="E195" s="209">
        <v>110.48</v>
      </c>
      <c r="F195" s="209">
        <v>110.48</v>
      </c>
      <c r="G195" s="273" t="s">
        <v>39</v>
      </c>
      <c r="H195" s="209">
        <f t="shared" si="58"/>
        <v>7.7336000000000009</v>
      </c>
      <c r="I195" s="209">
        <f t="shared" si="59"/>
        <v>2.2096</v>
      </c>
      <c r="J195" s="209">
        <f t="shared" si="53"/>
        <v>1.1048</v>
      </c>
      <c r="K195" s="218">
        <f t="shared" si="54"/>
        <v>17.013919999999999</v>
      </c>
      <c r="L195" s="275"/>
      <c r="M195" s="287">
        <f t="shared" si="55"/>
        <v>140.43112799999997</v>
      </c>
      <c r="N195" s="280">
        <f t="shared" si="55"/>
        <v>140.43112799999997</v>
      </c>
      <c r="O195" s="280">
        <f t="shared" si="55"/>
        <v>140.43112799999997</v>
      </c>
      <c r="P195" s="210">
        <f t="shared" si="55"/>
        <v>140.43112799999997</v>
      </c>
    </row>
    <row r="196" spans="1:16" s="26" customFormat="1" ht="15" customHeight="1">
      <c r="A196" s="317">
        <v>8347</v>
      </c>
      <c r="B196" s="515" t="s">
        <v>138</v>
      </c>
      <c r="C196" s="478">
        <v>5</v>
      </c>
      <c r="D196" s="273">
        <v>1.4</v>
      </c>
      <c r="E196" s="209">
        <v>110.48</v>
      </c>
      <c r="F196" s="209">
        <v>110.48</v>
      </c>
      <c r="G196" s="273" t="s">
        <v>39</v>
      </c>
      <c r="H196" s="209">
        <f t="shared" si="58"/>
        <v>7.7336000000000009</v>
      </c>
      <c r="I196" s="209">
        <f t="shared" si="59"/>
        <v>2.2096</v>
      </c>
      <c r="J196" s="209">
        <f t="shared" si="53"/>
        <v>1.1048</v>
      </c>
      <c r="K196" s="218">
        <f t="shared" si="54"/>
        <v>17.013919999999999</v>
      </c>
      <c r="L196" s="275"/>
      <c r="M196" s="287">
        <f t="shared" si="55"/>
        <v>140.43112799999997</v>
      </c>
      <c r="N196" s="280">
        <f t="shared" si="55"/>
        <v>140.43112799999997</v>
      </c>
      <c r="O196" s="280">
        <f t="shared" si="55"/>
        <v>140.43112799999997</v>
      </c>
      <c r="P196" s="210">
        <f t="shared" si="55"/>
        <v>140.43112799999997</v>
      </c>
    </row>
    <row r="197" spans="1:16" s="26" customFormat="1" ht="15" customHeight="1">
      <c r="A197" s="317">
        <v>8389</v>
      </c>
      <c r="B197" s="515" t="s">
        <v>151</v>
      </c>
      <c r="C197" s="478">
        <v>10</v>
      </c>
      <c r="D197" s="273">
        <v>0.75</v>
      </c>
      <c r="E197" s="209">
        <v>47.31</v>
      </c>
      <c r="F197" s="209">
        <v>47.31</v>
      </c>
      <c r="G197" s="273" t="s">
        <v>39</v>
      </c>
      <c r="H197" s="209">
        <f t="shared" si="58"/>
        <v>3.3117000000000005</v>
      </c>
      <c r="I197" s="209">
        <f t="shared" si="59"/>
        <v>0.94620000000000004</v>
      </c>
      <c r="J197" s="209">
        <f t="shared" si="53"/>
        <v>0.47310000000000002</v>
      </c>
      <c r="K197" s="218">
        <f t="shared" si="54"/>
        <v>7.2857400000000014</v>
      </c>
      <c r="L197" s="275"/>
      <c r="M197" s="287">
        <f t="shared" si="55"/>
        <v>60.135741000000003</v>
      </c>
      <c r="N197" s="280">
        <f t="shared" si="55"/>
        <v>60.135741000000003</v>
      </c>
      <c r="O197" s="280">
        <f t="shared" si="55"/>
        <v>60.135741000000003</v>
      </c>
      <c r="P197" s="210">
        <f t="shared" si="55"/>
        <v>60.135741000000003</v>
      </c>
    </row>
    <row r="198" spans="1:16" s="26" customFormat="1" ht="15" customHeight="1">
      <c r="A198" s="298">
        <v>8463</v>
      </c>
      <c r="B198" s="489" t="s">
        <v>238</v>
      </c>
      <c r="C198" s="478">
        <v>1</v>
      </c>
      <c r="D198" s="273">
        <v>0.64</v>
      </c>
      <c r="E198" s="209">
        <v>41</v>
      </c>
      <c r="F198" s="209">
        <v>41</v>
      </c>
      <c r="G198" s="273" t="s">
        <v>39</v>
      </c>
      <c r="H198" s="209">
        <f t="shared" si="58"/>
        <v>2.87</v>
      </c>
      <c r="I198" s="209">
        <f t="shared" si="59"/>
        <v>0.82000000000000006</v>
      </c>
      <c r="J198" s="209">
        <f t="shared" si="53"/>
        <v>0.41000000000000003</v>
      </c>
      <c r="K198" s="218">
        <f t="shared" si="54"/>
        <v>6.3140000000000001</v>
      </c>
      <c r="L198" s="275"/>
      <c r="M198" s="287">
        <f t="shared" si="55"/>
        <v>52.115099999999991</v>
      </c>
      <c r="N198" s="280">
        <f t="shared" si="55"/>
        <v>52.115099999999991</v>
      </c>
      <c r="O198" s="280">
        <f t="shared" si="55"/>
        <v>52.115099999999991</v>
      </c>
      <c r="P198" s="210">
        <f t="shared" si="55"/>
        <v>52.115099999999991</v>
      </c>
    </row>
    <row r="199" spans="1:16" s="26" customFormat="1" ht="15" customHeight="1">
      <c r="A199" s="298">
        <v>8697</v>
      </c>
      <c r="B199" s="516" t="s">
        <v>207</v>
      </c>
      <c r="C199" s="478">
        <v>1</v>
      </c>
      <c r="D199" s="273">
        <v>1.65</v>
      </c>
      <c r="E199" s="209">
        <v>59.11</v>
      </c>
      <c r="F199" s="209">
        <v>59.11</v>
      </c>
      <c r="G199" s="273" t="s">
        <v>39</v>
      </c>
      <c r="H199" s="209">
        <f t="shared" si="58"/>
        <v>4.1377000000000006</v>
      </c>
      <c r="I199" s="209">
        <f t="shared" si="59"/>
        <v>1.1821999999999999</v>
      </c>
      <c r="J199" s="209">
        <f t="shared" si="53"/>
        <v>0.59109999999999996</v>
      </c>
      <c r="K199" s="218">
        <f t="shared" si="54"/>
        <v>9.1029400000000003</v>
      </c>
      <c r="L199" s="275"/>
      <c r="M199" s="287">
        <f t="shared" si="55"/>
        <v>75.134720999999999</v>
      </c>
      <c r="N199" s="280">
        <f t="shared" si="55"/>
        <v>75.134720999999999</v>
      </c>
      <c r="O199" s="280">
        <f t="shared" si="55"/>
        <v>75.134720999999999</v>
      </c>
      <c r="P199" s="210">
        <f t="shared" si="55"/>
        <v>75.134720999999999</v>
      </c>
    </row>
    <row r="200" spans="1:16" s="26" customFormat="1" ht="15" customHeight="1">
      <c r="A200" s="298">
        <v>8478</v>
      </c>
      <c r="B200" s="501" t="s">
        <v>74</v>
      </c>
      <c r="C200" s="478">
        <v>5</v>
      </c>
      <c r="D200" s="273">
        <v>1.65</v>
      </c>
      <c r="E200" s="209">
        <v>107.87</v>
      </c>
      <c r="F200" s="209">
        <v>107.87</v>
      </c>
      <c r="G200" s="273" t="s">
        <v>39</v>
      </c>
      <c r="H200" s="209">
        <f t="shared" si="58"/>
        <v>7.5509000000000013</v>
      </c>
      <c r="I200" s="209">
        <f t="shared" si="59"/>
        <v>2.1574</v>
      </c>
      <c r="J200" s="209">
        <f t="shared" si="53"/>
        <v>1.0787</v>
      </c>
      <c r="K200" s="218">
        <f t="shared" si="54"/>
        <v>16.611980000000003</v>
      </c>
      <c r="L200" s="275"/>
      <c r="M200" s="287">
        <f t="shared" si="55"/>
        <v>137.11355699999999</v>
      </c>
      <c r="N200" s="280">
        <f t="shared" si="55"/>
        <v>137.11355699999999</v>
      </c>
      <c r="O200" s="280">
        <f t="shared" si="55"/>
        <v>137.11355699999999</v>
      </c>
      <c r="P200" s="210">
        <f t="shared" si="55"/>
        <v>137.11355699999999</v>
      </c>
    </row>
    <row r="201" spans="1:16" s="26" customFormat="1" ht="15" customHeight="1">
      <c r="A201" s="298">
        <v>8501</v>
      </c>
      <c r="B201" s="501" t="s">
        <v>69</v>
      </c>
      <c r="C201" s="478">
        <v>10</v>
      </c>
      <c r="D201" s="273">
        <v>0.75</v>
      </c>
      <c r="E201" s="209">
        <v>40.270000000000003</v>
      </c>
      <c r="F201" s="209">
        <v>40.270000000000003</v>
      </c>
      <c r="G201" s="273" t="s">
        <v>39</v>
      </c>
      <c r="H201" s="209">
        <f t="shared" si="58"/>
        <v>2.8189000000000006</v>
      </c>
      <c r="I201" s="209">
        <f t="shared" si="59"/>
        <v>0.80540000000000012</v>
      </c>
      <c r="J201" s="209">
        <f t="shared" si="53"/>
        <v>0.40270000000000006</v>
      </c>
      <c r="K201" s="218">
        <f t="shared" si="54"/>
        <v>6.2015800000000008</v>
      </c>
      <c r="L201" s="275"/>
      <c r="M201" s="287">
        <f t="shared" si="55"/>
        <v>51.187197000000005</v>
      </c>
      <c r="N201" s="280">
        <f t="shared" si="55"/>
        <v>51.187197000000005</v>
      </c>
      <c r="O201" s="280">
        <f t="shared" si="55"/>
        <v>51.187197000000005</v>
      </c>
      <c r="P201" s="210">
        <f t="shared" si="55"/>
        <v>51.187197000000005</v>
      </c>
    </row>
    <row r="202" spans="1:16" s="26" customFormat="1" ht="15" customHeight="1" thickBot="1">
      <c r="A202" s="298">
        <v>8504</v>
      </c>
      <c r="B202" s="501" t="s">
        <v>81</v>
      </c>
      <c r="C202" s="478">
        <v>10</v>
      </c>
      <c r="D202" s="273">
        <v>0.75</v>
      </c>
      <c r="E202" s="209">
        <v>40.270000000000003</v>
      </c>
      <c r="F202" s="209">
        <v>40.270000000000003</v>
      </c>
      <c r="G202" s="292" t="s">
        <v>39</v>
      </c>
      <c r="H202" s="236">
        <f>IF($G202="P",$F202*$H$19,IF($G202="A",$H$19*$F202,IF($G202="L",0%*$F202)))</f>
        <v>2.8189000000000006</v>
      </c>
      <c r="I202" s="236">
        <f>$F202*$I$19</f>
        <v>0.80540000000000012</v>
      </c>
      <c r="J202" s="236">
        <f t="shared" si="53"/>
        <v>0.40270000000000006</v>
      </c>
      <c r="K202" s="239">
        <f t="shared" si="54"/>
        <v>6.2015800000000008</v>
      </c>
      <c r="L202" s="275"/>
      <c r="M202" s="287">
        <f t="shared" si="55"/>
        <v>51.187197000000005</v>
      </c>
      <c r="N202" s="280">
        <f t="shared" si="55"/>
        <v>51.187197000000005</v>
      </c>
      <c r="O202" s="280">
        <f t="shared" si="55"/>
        <v>51.187197000000005</v>
      </c>
      <c r="P202" s="210">
        <f t="shared" si="55"/>
        <v>51.187197000000005</v>
      </c>
    </row>
    <row r="203" spans="1:16" s="26" customFormat="1" ht="15" customHeight="1">
      <c r="A203" s="318">
        <v>8621</v>
      </c>
      <c r="B203" s="511" t="s">
        <v>87</v>
      </c>
      <c r="C203" s="482">
        <v>1</v>
      </c>
      <c r="D203" s="294">
        <v>1.05</v>
      </c>
      <c r="E203" s="225">
        <v>50.35</v>
      </c>
      <c r="F203" s="225">
        <v>50.35</v>
      </c>
      <c r="G203" s="294" t="s">
        <v>39</v>
      </c>
      <c r="H203" s="225">
        <f t="shared" si="58"/>
        <v>3.5245000000000006</v>
      </c>
      <c r="I203" s="225">
        <f t="shared" si="59"/>
        <v>1.0070000000000001</v>
      </c>
      <c r="J203" s="225">
        <f t="shared" si="53"/>
        <v>0.50350000000000006</v>
      </c>
      <c r="K203" s="228">
        <f t="shared" si="54"/>
        <v>7.7539000000000016</v>
      </c>
      <c r="L203" s="275"/>
      <c r="M203" s="287">
        <f t="shared" si="55"/>
        <v>63.999885000000006</v>
      </c>
      <c r="N203" s="280">
        <f t="shared" si="55"/>
        <v>63.999885000000006</v>
      </c>
      <c r="O203" s="280">
        <f t="shared" si="55"/>
        <v>63.999885000000006</v>
      </c>
      <c r="P203" s="210">
        <f t="shared" si="55"/>
        <v>63.999885000000006</v>
      </c>
    </row>
    <row r="204" spans="1:16" s="26" customFormat="1" ht="15" customHeight="1">
      <c r="A204" s="298">
        <v>8625</v>
      </c>
      <c r="B204" s="501" t="s">
        <v>88</v>
      </c>
      <c r="C204" s="478">
        <v>5</v>
      </c>
      <c r="D204" s="273">
        <v>1.05</v>
      </c>
      <c r="E204" s="209">
        <v>64.72</v>
      </c>
      <c r="F204" s="209">
        <v>64.72</v>
      </c>
      <c r="G204" s="273" t="s">
        <v>39</v>
      </c>
      <c r="H204" s="209">
        <f t="shared" si="58"/>
        <v>4.5304000000000002</v>
      </c>
      <c r="I204" s="209">
        <f t="shared" si="59"/>
        <v>1.2944</v>
      </c>
      <c r="J204" s="209">
        <f t="shared" si="53"/>
        <v>0.6472</v>
      </c>
      <c r="K204" s="218">
        <f t="shared" si="54"/>
        <v>9.9668799999999997</v>
      </c>
      <c r="L204" s="275"/>
      <c r="M204" s="287">
        <f t="shared" si="55"/>
        <v>82.265591999999998</v>
      </c>
      <c r="N204" s="280">
        <f t="shared" si="55"/>
        <v>82.265591999999998</v>
      </c>
      <c r="O204" s="280">
        <f t="shared" si="55"/>
        <v>82.265591999999998</v>
      </c>
      <c r="P204" s="210">
        <f t="shared" si="55"/>
        <v>82.265591999999998</v>
      </c>
    </row>
    <row r="205" spans="1:16" s="26" customFormat="1" ht="15" customHeight="1">
      <c r="A205" s="318">
        <v>8634</v>
      </c>
      <c r="B205" s="511" t="s">
        <v>204</v>
      </c>
      <c r="C205" s="482">
        <v>10</v>
      </c>
      <c r="D205" s="294">
        <v>1.2</v>
      </c>
      <c r="E205" s="225">
        <v>64.72</v>
      </c>
      <c r="F205" s="225">
        <v>64.72</v>
      </c>
      <c r="G205" s="294" t="s">
        <v>39</v>
      </c>
      <c r="H205" s="225">
        <f t="shared" si="58"/>
        <v>4.5304000000000002</v>
      </c>
      <c r="I205" s="225">
        <f t="shared" si="59"/>
        <v>1.2944</v>
      </c>
      <c r="J205" s="225">
        <f t="shared" si="53"/>
        <v>0.6472</v>
      </c>
      <c r="K205" s="228">
        <f t="shared" si="54"/>
        <v>9.9668799999999997</v>
      </c>
      <c r="L205" s="275"/>
      <c r="M205" s="296">
        <f t="shared" si="55"/>
        <v>82.265591999999998</v>
      </c>
      <c r="N205" s="297">
        <f t="shared" si="55"/>
        <v>82.265591999999998</v>
      </c>
      <c r="O205" s="297">
        <f t="shared" si="55"/>
        <v>82.265591999999998</v>
      </c>
      <c r="P205" s="334">
        <f t="shared" si="55"/>
        <v>82.265591999999998</v>
      </c>
    </row>
    <row r="206" spans="1:16" s="26" customFormat="1" ht="15" customHeight="1">
      <c r="A206" s="298">
        <v>8639</v>
      </c>
      <c r="B206" s="501" t="s">
        <v>176</v>
      </c>
      <c r="C206" s="478">
        <v>10</v>
      </c>
      <c r="D206" s="273">
        <v>0.9</v>
      </c>
      <c r="E206" s="209">
        <v>49.62</v>
      </c>
      <c r="F206" s="209">
        <v>49.62</v>
      </c>
      <c r="G206" s="273" t="s">
        <v>39</v>
      </c>
      <c r="H206" s="209">
        <f t="shared" si="58"/>
        <v>3.4734000000000003</v>
      </c>
      <c r="I206" s="209">
        <f t="shared" si="59"/>
        <v>0.99239999999999995</v>
      </c>
      <c r="J206" s="209">
        <f t="shared" si="53"/>
        <v>0.49619999999999997</v>
      </c>
      <c r="K206" s="218">
        <f t="shared" si="54"/>
        <v>7.6414799999999996</v>
      </c>
      <c r="L206" s="319"/>
      <c r="M206" s="287">
        <f t="shared" si="55"/>
        <v>63.071981999999991</v>
      </c>
      <c r="N206" s="280">
        <f t="shared" si="55"/>
        <v>63.071981999999991</v>
      </c>
      <c r="O206" s="280">
        <f t="shared" si="55"/>
        <v>63.071981999999991</v>
      </c>
      <c r="P206" s="210">
        <f t="shared" si="55"/>
        <v>63.071981999999991</v>
      </c>
    </row>
    <row r="207" spans="1:16" s="26" customFormat="1" ht="15" customHeight="1">
      <c r="A207" s="362" t="s">
        <v>175</v>
      </c>
      <c r="B207" s="517"/>
      <c r="C207" s="300"/>
      <c r="D207" s="313"/>
      <c r="E207" s="213"/>
      <c r="F207" s="213"/>
      <c r="G207" s="313"/>
      <c r="H207" s="267"/>
      <c r="I207" s="267"/>
      <c r="J207" s="213"/>
      <c r="K207" s="267"/>
      <c r="L207" s="320"/>
      <c r="M207" s="282"/>
      <c r="N207" s="282"/>
      <c r="O207" s="282"/>
      <c r="P207" s="283"/>
    </row>
    <row r="208" spans="1:16" s="26" customFormat="1" ht="15" customHeight="1">
      <c r="A208" s="321">
        <v>2312</v>
      </c>
      <c r="B208" s="518" t="s">
        <v>64</v>
      </c>
      <c r="C208" s="483">
        <v>25</v>
      </c>
      <c r="D208" s="273">
        <v>1</v>
      </c>
      <c r="E208" s="209">
        <v>63.26</v>
      </c>
      <c r="F208" s="209">
        <v>63.26</v>
      </c>
      <c r="G208" s="322" t="s">
        <v>39</v>
      </c>
      <c r="H208" s="209">
        <f>IF($G208="P",$F208*$H$19,IF($G208="A",$H$19*$F208,IF($G208="L",0%*$F208)))</f>
        <v>4.4282000000000004</v>
      </c>
      <c r="I208" s="209">
        <f>$F208*$I$19</f>
        <v>1.2651999999999999</v>
      </c>
      <c r="J208" s="209">
        <f t="shared" si="53"/>
        <v>0.63259999999999994</v>
      </c>
      <c r="K208" s="218">
        <f t="shared" si="54"/>
        <v>9.7420399999999994</v>
      </c>
      <c r="L208" s="319"/>
      <c r="M208" s="280">
        <f>(($F208+$H208+3.5%*$F208+$J208))*1.14</f>
        <v>80.409785999999983</v>
      </c>
      <c r="N208" s="280">
        <f t="shared" ref="N208:P209" si="60">(($F208+$H208+3.5%*$F208+$J208))*1.14</f>
        <v>80.409785999999983</v>
      </c>
      <c r="O208" s="280">
        <f t="shared" si="60"/>
        <v>80.409785999999983</v>
      </c>
      <c r="P208" s="182">
        <f t="shared" si="60"/>
        <v>80.409785999999983</v>
      </c>
    </row>
    <row r="209" spans="1:16" s="26" customFormat="1" ht="15" customHeight="1">
      <c r="A209" s="183">
        <v>2313</v>
      </c>
      <c r="B209" s="489" t="s">
        <v>66</v>
      </c>
      <c r="C209" s="478">
        <v>25</v>
      </c>
      <c r="D209" s="273">
        <v>1</v>
      </c>
      <c r="E209" s="209">
        <v>63.26</v>
      </c>
      <c r="F209" s="209">
        <v>63.26</v>
      </c>
      <c r="G209" s="273" t="s">
        <v>39</v>
      </c>
      <c r="H209" s="209">
        <f>IF($G209="P",$F209*$H$19,IF($G209="A",$H$19*$F209,IF($G209="L",0%*$F209)))</f>
        <v>4.4282000000000004</v>
      </c>
      <c r="I209" s="209">
        <f>$F209*$I$19</f>
        <v>1.2651999999999999</v>
      </c>
      <c r="J209" s="209">
        <f t="shared" si="53"/>
        <v>0.63259999999999994</v>
      </c>
      <c r="K209" s="218">
        <f t="shared" si="54"/>
        <v>9.7420399999999994</v>
      </c>
      <c r="L209" s="319"/>
      <c r="M209" s="280">
        <f>(($F209+$H209+3.5%*$F209+$J209))*1.14</f>
        <v>80.409785999999983</v>
      </c>
      <c r="N209" s="280">
        <f t="shared" si="60"/>
        <v>80.409785999999983</v>
      </c>
      <c r="O209" s="280">
        <f t="shared" si="60"/>
        <v>80.409785999999983</v>
      </c>
      <c r="P209" s="182">
        <f t="shared" si="60"/>
        <v>80.409785999999983</v>
      </c>
    </row>
    <row r="210" spans="1:16" s="26" customFormat="1" ht="15" customHeight="1">
      <c r="A210" s="360" t="s">
        <v>142</v>
      </c>
      <c r="B210" s="519"/>
      <c r="C210" s="484"/>
      <c r="D210" s="311"/>
      <c r="E210" s="213"/>
      <c r="F210" s="213"/>
      <c r="G210" s="213"/>
      <c r="H210" s="213"/>
      <c r="I210" s="213"/>
      <c r="J210" s="213"/>
      <c r="K210" s="213"/>
      <c r="L210" s="323"/>
      <c r="M210" s="282"/>
      <c r="N210" s="282"/>
      <c r="O210" s="282"/>
      <c r="P210" s="283"/>
    </row>
    <row r="211" spans="1:16" s="26" customFormat="1" ht="15" customHeight="1">
      <c r="A211" s="324" t="s">
        <v>152</v>
      </c>
      <c r="B211" s="487" t="s">
        <v>250</v>
      </c>
      <c r="C211" s="478">
        <v>1</v>
      </c>
      <c r="D211" s="273">
        <v>12.2</v>
      </c>
      <c r="E211" s="209">
        <v>127.19</v>
      </c>
      <c r="F211" s="209">
        <v>127.19</v>
      </c>
      <c r="G211" s="273" t="s">
        <v>39</v>
      </c>
      <c r="H211" s="209">
        <f>IF($G211="P",$F211*$H$19,IF($G211="A",$H$19*$F211,IF($G211="L",0%*$F211)))</f>
        <v>8.9033000000000015</v>
      </c>
      <c r="I211" s="209">
        <f>$F211*$I$19</f>
        <v>2.5438000000000001</v>
      </c>
      <c r="J211" s="209">
        <f>F211*$J$19</f>
        <v>1.2719</v>
      </c>
      <c r="K211" s="218">
        <f t="shared" si="54"/>
        <v>19.587260000000001</v>
      </c>
      <c r="L211" s="325"/>
      <c r="M211" s="280">
        <f>(($F211+$H211+3.5%*$F211+$J211))*1.14</f>
        <v>161.67120899999998</v>
      </c>
      <c r="N211" s="280">
        <f>(($F211+$H211+3.5%*$F211+$J211))*1.14</f>
        <v>161.67120899999998</v>
      </c>
      <c r="O211" s="280">
        <f>(($F211+$H211+3.5%*$F211+$J211))*1.14</f>
        <v>161.67120899999998</v>
      </c>
      <c r="P211" s="182">
        <f>(($F211+$H211+3.5%*$F211+$J211))*1.14</f>
        <v>161.67120899999998</v>
      </c>
    </row>
    <row r="212" spans="1:16" s="26" customFormat="1" ht="15" customHeight="1">
      <c r="A212" s="183" t="s">
        <v>134</v>
      </c>
      <c r="B212" s="487" t="s">
        <v>251</v>
      </c>
      <c r="C212" s="478">
        <v>1</v>
      </c>
      <c r="D212" s="273">
        <v>12.2</v>
      </c>
      <c r="E212" s="209">
        <v>127.19</v>
      </c>
      <c r="F212" s="209">
        <v>127.19</v>
      </c>
      <c r="G212" s="273" t="s">
        <v>39</v>
      </c>
      <c r="H212" s="209">
        <f>IF($G212="P",$F212*$H$19,IF($G212="A",$H$19*$F212,IF($G212="L",0%*$F212)))</f>
        <v>8.9033000000000015</v>
      </c>
      <c r="I212" s="209">
        <f>$F212*$I$19</f>
        <v>2.5438000000000001</v>
      </c>
      <c r="J212" s="209">
        <f>F212*$J$19</f>
        <v>1.2719</v>
      </c>
      <c r="K212" s="218">
        <f t="shared" si="54"/>
        <v>19.587260000000001</v>
      </c>
      <c r="L212" s="325"/>
      <c r="M212" s="280">
        <f t="shared" ref="M212:P220" si="61">(($F212+$H212+3.5%*$F212+$J212))*1.14</f>
        <v>161.67120899999998</v>
      </c>
      <c r="N212" s="280">
        <f t="shared" si="61"/>
        <v>161.67120899999998</v>
      </c>
      <c r="O212" s="280">
        <f t="shared" si="61"/>
        <v>161.67120899999998</v>
      </c>
      <c r="P212" s="182">
        <f t="shared" si="61"/>
        <v>161.67120899999998</v>
      </c>
    </row>
    <row r="213" spans="1:16" s="26" customFormat="1" ht="15" customHeight="1">
      <c r="A213" s="183" t="s">
        <v>135</v>
      </c>
      <c r="B213" s="487" t="s">
        <v>252</v>
      </c>
      <c r="C213" s="478">
        <v>1</v>
      </c>
      <c r="D213" s="273">
        <v>12.2</v>
      </c>
      <c r="E213" s="209">
        <v>127.19</v>
      </c>
      <c r="F213" s="209">
        <v>127.19</v>
      </c>
      <c r="G213" s="273" t="s">
        <v>39</v>
      </c>
      <c r="H213" s="209">
        <f>IF($G213="P",$F213*$H$19,IF($G213="A",$H$19*$F213,IF($G213="L",0%*$F213)))</f>
        <v>8.9033000000000015</v>
      </c>
      <c r="I213" s="209">
        <f>$F213*$I$19</f>
        <v>2.5438000000000001</v>
      </c>
      <c r="J213" s="209">
        <f>F213*$J$19</f>
        <v>1.2719</v>
      </c>
      <c r="K213" s="218">
        <f t="shared" si="54"/>
        <v>19.587260000000001</v>
      </c>
      <c r="L213" s="325"/>
      <c r="M213" s="280">
        <f t="shared" si="61"/>
        <v>161.67120899999998</v>
      </c>
      <c r="N213" s="280">
        <f t="shared" si="61"/>
        <v>161.67120899999998</v>
      </c>
      <c r="O213" s="280">
        <f t="shared" si="61"/>
        <v>161.67120899999998</v>
      </c>
      <c r="P213" s="182">
        <f t="shared" si="61"/>
        <v>161.67120899999998</v>
      </c>
    </row>
    <row r="214" spans="1:16" ht="15" customHeight="1">
      <c r="A214" s="284" t="s">
        <v>217</v>
      </c>
      <c r="B214" s="520" t="s">
        <v>218</v>
      </c>
      <c r="C214" s="478">
        <v>1</v>
      </c>
      <c r="D214" s="273">
        <v>40</v>
      </c>
      <c r="E214" s="209">
        <v>484.16</v>
      </c>
      <c r="F214" s="209">
        <v>484.16</v>
      </c>
      <c r="G214" s="326" t="s">
        <v>39</v>
      </c>
      <c r="H214" s="209">
        <f t="shared" ref="H214:H220" si="62">IF($G214="P",$F214*$H$19,IF($G214="A",$H$19*$F214,IF($G214="L",0%*$F214)))</f>
        <v>33.891200000000005</v>
      </c>
      <c r="I214" s="209">
        <f t="shared" ref="I214:I220" si="63">$F214*$I$19</f>
        <v>9.6832000000000011</v>
      </c>
      <c r="J214" s="209">
        <f t="shared" ref="J214:J220" si="64">F214*$J$19</f>
        <v>4.8416000000000006</v>
      </c>
      <c r="K214" s="218">
        <f t="shared" si="54"/>
        <v>74.560640000000006</v>
      </c>
      <c r="L214" s="327"/>
      <c r="M214" s="280">
        <f t="shared" si="61"/>
        <v>615.41577599999994</v>
      </c>
      <c r="N214" s="280">
        <f t="shared" si="61"/>
        <v>615.41577599999994</v>
      </c>
      <c r="O214" s="280">
        <f t="shared" si="61"/>
        <v>615.41577599999994</v>
      </c>
      <c r="P214" s="182">
        <f t="shared" si="61"/>
        <v>615.41577599999994</v>
      </c>
    </row>
    <row r="215" spans="1:16" ht="15" customHeight="1">
      <c r="A215" s="284" t="s">
        <v>219</v>
      </c>
      <c r="B215" s="520" t="s">
        <v>220</v>
      </c>
      <c r="C215" s="478">
        <v>1</v>
      </c>
      <c r="D215" s="273">
        <v>40</v>
      </c>
      <c r="E215" s="209">
        <v>484.16</v>
      </c>
      <c r="F215" s="209">
        <v>484.16</v>
      </c>
      <c r="G215" s="326" t="s">
        <v>39</v>
      </c>
      <c r="H215" s="209">
        <f t="shared" si="62"/>
        <v>33.891200000000005</v>
      </c>
      <c r="I215" s="209">
        <f t="shared" si="63"/>
        <v>9.6832000000000011</v>
      </c>
      <c r="J215" s="209">
        <f t="shared" si="64"/>
        <v>4.8416000000000006</v>
      </c>
      <c r="K215" s="218">
        <f t="shared" si="54"/>
        <v>74.560640000000006</v>
      </c>
      <c r="L215" s="328"/>
      <c r="M215" s="280">
        <f t="shared" si="61"/>
        <v>615.41577599999994</v>
      </c>
      <c r="N215" s="280">
        <f t="shared" si="61"/>
        <v>615.41577599999994</v>
      </c>
      <c r="O215" s="280">
        <f t="shared" si="61"/>
        <v>615.41577599999994</v>
      </c>
      <c r="P215" s="182">
        <f t="shared" si="61"/>
        <v>615.41577599999994</v>
      </c>
    </row>
    <row r="216" spans="1:16" ht="15" customHeight="1">
      <c r="A216" s="329" t="s">
        <v>221</v>
      </c>
      <c r="B216" s="520" t="s">
        <v>222</v>
      </c>
      <c r="C216" s="478">
        <v>1</v>
      </c>
      <c r="D216" s="273">
        <v>40</v>
      </c>
      <c r="E216" s="209">
        <v>484.16</v>
      </c>
      <c r="F216" s="209">
        <v>484.16</v>
      </c>
      <c r="G216" s="326" t="s">
        <v>39</v>
      </c>
      <c r="H216" s="209">
        <f t="shared" si="62"/>
        <v>33.891200000000005</v>
      </c>
      <c r="I216" s="209">
        <f t="shared" si="63"/>
        <v>9.6832000000000011</v>
      </c>
      <c r="J216" s="209">
        <f t="shared" si="64"/>
        <v>4.8416000000000006</v>
      </c>
      <c r="K216" s="218">
        <f t="shared" si="54"/>
        <v>74.560640000000006</v>
      </c>
      <c r="L216" s="328"/>
      <c r="M216" s="280">
        <f t="shared" si="61"/>
        <v>615.41577599999994</v>
      </c>
      <c r="N216" s="280">
        <f t="shared" si="61"/>
        <v>615.41577599999994</v>
      </c>
      <c r="O216" s="280">
        <f t="shared" si="61"/>
        <v>615.41577599999994</v>
      </c>
      <c r="P216" s="182">
        <f t="shared" si="61"/>
        <v>615.41577599999994</v>
      </c>
    </row>
    <row r="217" spans="1:16" ht="15" customHeight="1">
      <c r="A217" s="284" t="s">
        <v>223</v>
      </c>
      <c r="B217" s="520" t="s">
        <v>224</v>
      </c>
      <c r="C217" s="478">
        <v>1</v>
      </c>
      <c r="D217" s="273">
        <v>40</v>
      </c>
      <c r="E217" s="209">
        <v>484.16</v>
      </c>
      <c r="F217" s="209">
        <v>484.16</v>
      </c>
      <c r="G217" s="326" t="s">
        <v>39</v>
      </c>
      <c r="H217" s="209">
        <f t="shared" si="62"/>
        <v>33.891200000000005</v>
      </c>
      <c r="I217" s="209">
        <f t="shared" si="63"/>
        <v>9.6832000000000011</v>
      </c>
      <c r="J217" s="209">
        <f t="shared" si="64"/>
        <v>4.8416000000000006</v>
      </c>
      <c r="K217" s="218">
        <f t="shared" si="54"/>
        <v>74.560640000000006</v>
      </c>
      <c r="L217" s="328"/>
      <c r="M217" s="280">
        <f t="shared" si="61"/>
        <v>615.41577599999994</v>
      </c>
      <c r="N217" s="280">
        <f t="shared" si="61"/>
        <v>615.41577599999994</v>
      </c>
      <c r="O217" s="280">
        <f t="shared" si="61"/>
        <v>615.41577599999994</v>
      </c>
      <c r="P217" s="182">
        <f t="shared" si="61"/>
        <v>615.41577599999994</v>
      </c>
    </row>
    <row r="218" spans="1:16" ht="15" customHeight="1">
      <c r="A218" s="284" t="s">
        <v>225</v>
      </c>
      <c r="B218" s="520" t="s">
        <v>226</v>
      </c>
      <c r="C218" s="478">
        <v>1</v>
      </c>
      <c r="D218" s="273">
        <v>40</v>
      </c>
      <c r="E218" s="209">
        <v>484.16</v>
      </c>
      <c r="F218" s="209">
        <v>484.16</v>
      </c>
      <c r="G218" s="326" t="s">
        <v>39</v>
      </c>
      <c r="H218" s="209">
        <f t="shared" si="62"/>
        <v>33.891200000000005</v>
      </c>
      <c r="I218" s="209">
        <f t="shared" si="63"/>
        <v>9.6832000000000011</v>
      </c>
      <c r="J218" s="209">
        <f t="shared" si="64"/>
        <v>4.8416000000000006</v>
      </c>
      <c r="K218" s="218">
        <f t="shared" si="54"/>
        <v>74.560640000000006</v>
      </c>
      <c r="L218" s="328"/>
      <c r="M218" s="280">
        <f t="shared" si="61"/>
        <v>615.41577599999994</v>
      </c>
      <c r="N218" s="280">
        <f t="shared" si="61"/>
        <v>615.41577599999994</v>
      </c>
      <c r="O218" s="280">
        <f t="shared" si="61"/>
        <v>615.41577599999994</v>
      </c>
      <c r="P218" s="182">
        <f t="shared" si="61"/>
        <v>615.41577599999994</v>
      </c>
    </row>
    <row r="219" spans="1:16" ht="15" customHeight="1">
      <c r="A219" s="284" t="s">
        <v>227</v>
      </c>
      <c r="B219" s="520" t="s">
        <v>228</v>
      </c>
      <c r="C219" s="478">
        <v>1</v>
      </c>
      <c r="D219" s="273">
        <v>40</v>
      </c>
      <c r="E219" s="209">
        <v>484.16</v>
      </c>
      <c r="F219" s="209">
        <v>484.16</v>
      </c>
      <c r="G219" s="326" t="s">
        <v>39</v>
      </c>
      <c r="H219" s="209">
        <f t="shared" si="62"/>
        <v>33.891200000000005</v>
      </c>
      <c r="I219" s="209">
        <f t="shared" si="63"/>
        <v>9.6832000000000011</v>
      </c>
      <c r="J219" s="209">
        <f t="shared" si="64"/>
        <v>4.8416000000000006</v>
      </c>
      <c r="K219" s="218">
        <f t="shared" si="54"/>
        <v>74.560640000000006</v>
      </c>
      <c r="L219" s="328"/>
      <c r="M219" s="280">
        <f t="shared" si="61"/>
        <v>615.41577599999994</v>
      </c>
      <c r="N219" s="280">
        <f t="shared" si="61"/>
        <v>615.41577599999994</v>
      </c>
      <c r="O219" s="280">
        <f t="shared" si="61"/>
        <v>615.41577599999994</v>
      </c>
      <c r="P219" s="182">
        <f t="shared" si="61"/>
        <v>615.41577599999994</v>
      </c>
    </row>
    <row r="220" spans="1:16" ht="15" customHeight="1" thickBot="1">
      <c r="A220" s="330" t="s">
        <v>229</v>
      </c>
      <c r="B220" s="521" t="s">
        <v>230</v>
      </c>
      <c r="C220" s="485">
        <v>1</v>
      </c>
      <c r="D220" s="292">
        <v>40</v>
      </c>
      <c r="E220" s="236">
        <v>484.16</v>
      </c>
      <c r="F220" s="236">
        <v>484.16</v>
      </c>
      <c r="G220" s="331" t="s">
        <v>39</v>
      </c>
      <c r="H220" s="236">
        <f t="shared" si="62"/>
        <v>33.891200000000005</v>
      </c>
      <c r="I220" s="236">
        <f t="shared" si="63"/>
        <v>9.6832000000000011</v>
      </c>
      <c r="J220" s="236">
        <f t="shared" si="64"/>
        <v>4.8416000000000006</v>
      </c>
      <c r="K220" s="239">
        <f t="shared" si="54"/>
        <v>74.560640000000006</v>
      </c>
      <c r="L220" s="332"/>
      <c r="M220" s="293">
        <f t="shared" si="61"/>
        <v>615.41577599999994</v>
      </c>
      <c r="N220" s="293">
        <f t="shared" si="61"/>
        <v>615.41577599999994</v>
      </c>
      <c r="O220" s="293">
        <f t="shared" si="61"/>
        <v>615.41577599999994</v>
      </c>
      <c r="P220" s="333">
        <f t="shared" si="61"/>
        <v>615.41577599999994</v>
      </c>
    </row>
  </sheetData>
  <sheetProtection password="D9BF" sheet="1"/>
  <mergeCells count="6">
    <mergeCell ref="L17:P17"/>
    <mergeCell ref="M8:P16"/>
    <mergeCell ref="C8:L8"/>
    <mergeCell ref="D9:E9"/>
    <mergeCell ref="F9:L9"/>
    <mergeCell ref="A34:B34"/>
  </mergeCells>
  <phoneticPr fontId="0" type="noConversion"/>
  <hyperlinks>
    <hyperlink ref="L6" r:id="rId1"/>
  </hyperlinks>
  <printOptions horizontalCentered="1"/>
  <pageMargins left="0.70866141732283472" right="0.70866141732283472" top="0.74803149606299213" bottom="0.74803149606299213" header="0.31496062992125984" footer="0.31496062992125984"/>
  <pageSetup paperSize="9" scale="52" fitToHeight="0" orientation="landscape" copies="10" r:id="rId2"/>
  <headerFooter alignWithMargins="0">
    <oddFooter>Page &amp;P of &amp;N</oddFooter>
  </headerFooter>
  <rowBreaks count="4" manualBreakCount="4">
    <brk id="60" max="15" man="1"/>
    <brk id="99" max="15" man="1"/>
    <brk id="137" max="15" man="1"/>
    <brk id="178" max="15" man="1"/>
  </rowBreaks>
  <ignoredErrors>
    <ignoredError sqref="M136:P136" formula="1"/>
    <ignoredError sqref="C110:C115 D110:D114" numberStoredAsText="1"/>
  </ignoredErrors>
  <drawing r:id="rId3"/>
</worksheet>
</file>

<file path=xl/worksheets/sheet2.xml><?xml version="1.0" encoding="utf-8"?>
<worksheet xmlns="http://schemas.openxmlformats.org/spreadsheetml/2006/main" xmlns:r="http://schemas.openxmlformats.org/officeDocument/2006/relationships">
  <sheetPr codeName="Sheet1">
    <pageSetUpPr fitToPage="1"/>
  </sheetPr>
  <dimension ref="A1:R81"/>
  <sheetViews>
    <sheetView showGridLines="0" topLeftCell="A16" zoomScale="85" zoomScaleNormal="75" zoomScaleSheetLayoutView="100" workbookViewId="0">
      <selection activeCell="W33" sqref="W33"/>
    </sheetView>
  </sheetViews>
  <sheetFormatPr defaultColWidth="7.85546875" defaultRowHeight="14.25"/>
  <cols>
    <col min="1" max="1" width="8.42578125" style="1" customWidth="1"/>
    <col min="2" max="2" width="7.5703125" style="2" customWidth="1"/>
    <col min="3" max="3" width="23.7109375" style="1" customWidth="1"/>
    <col min="4" max="4" width="8.7109375" style="1" customWidth="1"/>
    <col min="5" max="5" width="9.42578125" style="1" customWidth="1"/>
    <col min="6" max="6" width="10.7109375" style="1" customWidth="1"/>
    <col min="7" max="7" width="15.5703125" style="1" customWidth="1"/>
    <col min="8" max="8" width="17.140625" style="1" customWidth="1"/>
    <col min="9" max="9" width="10.5703125" style="1" hidden="1" customWidth="1"/>
    <col min="10" max="10" width="17.5703125" style="1" hidden="1" customWidth="1"/>
    <col min="11" max="11" width="6.28515625" style="1" hidden="1" customWidth="1"/>
    <col min="12" max="12" width="20.7109375" style="1" hidden="1" customWidth="1"/>
    <col min="13" max="13" width="7.85546875" style="1" hidden="1" customWidth="1"/>
    <col min="14" max="14" width="8.140625" style="1" hidden="1" customWidth="1"/>
    <col min="15" max="16" width="7.85546875" style="1" hidden="1" customWidth="1"/>
    <col min="17" max="17" width="2.7109375" style="1" hidden="1" customWidth="1"/>
    <col min="18" max="18" width="7.85546875" style="1" hidden="1" customWidth="1"/>
    <col min="19" max="19" width="7.85546875" style="1" customWidth="1"/>
    <col min="20" max="16384" width="7.85546875" style="1"/>
  </cols>
  <sheetData>
    <row r="1" spans="1:12">
      <c r="A1" s="605" t="s">
        <v>31</v>
      </c>
      <c r="B1" s="605"/>
      <c r="C1" s="605"/>
      <c r="D1" s="605"/>
      <c r="E1" s="605"/>
      <c r="F1" s="605"/>
      <c r="G1" s="605"/>
      <c r="H1" s="605"/>
    </row>
    <row r="2" spans="1:12">
      <c r="A2" s="605" t="s">
        <v>128</v>
      </c>
      <c r="B2" s="605"/>
      <c r="C2" s="605"/>
      <c r="D2" s="605"/>
      <c r="E2" s="605"/>
      <c r="F2" s="605"/>
      <c r="G2" s="605"/>
      <c r="H2" s="605"/>
    </row>
    <row r="3" spans="1:12">
      <c r="A3" s="605" t="s">
        <v>133</v>
      </c>
      <c r="B3" s="605"/>
      <c r="C3" s="605"/>
      <c r="D3" s="605"/>
      <c r="E3" s="605"/>
      <c r="F3" s="605"/>
      <c r="G3" s="605"/>
      <c r="H3" s="605"/>
    </row>
    <row r="4" spans="1:12">
      <c r="A4" s="9"/>
      <c r="B4" s="12"/>
      <c r="C4" s="9"/>
      <c r="D4" s="9"/>
      <c r="E4" s="9"/>
      <c r="F4" s="9"/>
      <c r="G4" s="9"/>
      <c r="H4" s="9"/>
      <c r="J4" s="1" t="s">
        <v>209</v>
      </c>
    </row>
    <row r="5" spans="1:12">
      <c r="A5" s="3" t="s">
        <v>61</v>
      </c>
      <c r="B5" s="12"/>
      <c r="C5" s="9"/>
      <c r="D5" s="9"/>
      <c r="E5" s="9"/>
      <c r="F5" s="9"/>
      <c r="G5" s="9"/>
      <c r="J5" s="1" t="s">
        <v>210</v>
      </c>
    </row>
    <row r="6" spans="1:12">
      <c r="A6" s="24" t="s">
        <v>62</v>
      </c>
      <c r="B6" s="12"/>
      <c r="C6" s="9"/>
      <c r="D6" s="9"/>
      <c r="E6" s="9"/>
      <c r="F6" s="9"/>
      <c r="G6" s="9"/>
      <c r="H6" s="4"/>
      <c r="J6" s="1" t="s">
        <v>211</v>
      </c>
    </row>
    <row r="7" spans="1:12">
      <c r="A7" s="24"/>
      <c r="B7" s="12"/>
      <c r="C7" s="9"/>
      <c r="D7" s="9"/>
      <c r="E7" s="9"/>
      <c r="F7" s="9"/>
      <c r="G7" s="9"/>
      <c r="H7" s="4"/>
      <c r="J7" s="1" t="s">
        <v>212</v>
      </c>
    </row>
    <row r="8" spans="1:12">
      <c r="A8" s="617"/>
      <c r="B8" s="617"/>
      <c r="C8" s="617"/>
      <c r="D8" s="617"/>
      <c r="E8" s="617"/>
      <c r="F8" s="617"/>
      <c r="G8" s="617"/>
      <c r="H8" s="617"/>
    </row>
    <row r="9" spans="1:12" ht="16.5">
      <c r="A9" s="618" t="s">
        <v>45</v>
      </c>
      <c r="B9" s="618"/>
      <c r="C9" s="618"/>
      <c r="D9" s="618"/>
      <c r="E9" s="618"/>
      <c r="F9" s="618"/>
      <c r="G9" s="618"/>
      <c r="H9" s="618"/>
    </row>
    <row r="10" spans="1:12" ht="16.5">
      <c r="A10" s="20"/>
      <c r="B10" s="20"/>
      <c r="C10" s="23"/>
      <c r="D10" s="22"/>
      <c r="E10" s="20"/>
      <c r="F10" s="20"/>
      <c r="G10" s="20"/>
      <c r="H10" s="20"/>
      <c r="J10" s="10">
        <v>0.25</v>
      </c>
    </row>
    <row r="11" spans="1:12" ht="20.25" thickBot="1">
      <c r="A11" s="6" t="s">
        <v>46</v>
      </c>
      <c r="B11" s="5"/>
      <c r="C11" s="15"/>
      <c r="D11" s="5"/>
      <c r="E11" s="5"/>
      <c r="F11" s="20"/>
      <c r="G11" s="21" t="s">
        <v>47</v>
      </c>
      <c r="H11" s="7">
        <f ca="1">TODAY()</f>
        <v>41214</v>
      </c>
      <c r="J11" s="10">
        <v>0.35</v>
      </c>
    </row>
    <row r="12" spans="1:12">
      <c r="J12" s="10">
        <v>0.42</v>
      </c>
    </row>
    <row r="13" spans="1:12" ht="15.95" customHeight="1">
      <c r="A13" s="562" t="s">
        <v>14</v>
      </c>
      <c r="B13" s="563"/>
      <c r="C13" s="74"/>
      <c r="D13" s="619" t="s">
        <v>12</v>
      </c>
      <c r="E13" s="620"/>
      <c r="F13" s="620"/>
      <c r="G13" s="620"/>
      <c r="H13" s="621"/>
      <c r="J13" s="10">
        <v>0.5</v>
      </c>
      <c r="L13" s="8" t="s">
        <v>179</v>
      </c>
    </row>
    <row r="14" spans="1:12" ht="17.25" customHeight="1">
      <c r="A14" s="611" t="s">
        <v>11</v>
      </c>
      <c r="B14" s="612"/>
      <c r="C14" s="613"/>
      <c r="D14" s="606" t="s">
        <v>3</v>
      </c>
      <c r="E14" s="607"/>
      <c r="F14" s="75"/>
      <c r="G14" s="76"/>
      <c r="H14" s="77"/>
      <c r="L14" s="9">
        <v>1.1000000000000001</v>
      </c>
    </row>
    <row r="15" spans="1:12" ht="17.25" customHeight="1">
      <c r="A15" s="614"/>
      <c r="B15" s="615"/>
      <c r="C15" s="616"/>
      <c r="D15" s="608"/>
      <c r="E15" s="609"/>
      <c r="F15" s="76"/>
      <c r="G15" s="76" t="s">
        <v>209</v>
      </c>
      <c r="H15" s="77"/>
      <c r="J15" s="11">
        <v>2</v>
      </c>
    </row>
    <row r="16" spans="1:12" ht="17.25" customHeight="1">
      <c r="A16" s="614"/>
      <c r="B16" s="615"/>
      <c r="C16" s="616"/>
      <c r="D16" s="608"/>
      <c r="E16" s="610"/>
      <c r="F16" s="584" t="str">
        <f>IF(J15=2,"Please select sales center above"," ")</f>
        <v>Please select sales center above</v>
      </c>
      <c r="G16" s="585"/>
      <c r="H16" s="586"/>
    </row>
    <row r="17" spans="1:12" ht="17.25" customHeight="1">
      <c r="A17" s="365"/>
      <c r="B17" s="366"/>
      <c r="C17" s="367"/>
      <c r="D17" s="582"/>
      <c r="E17" s="583"/>
      <c r="F17" s="584" t="str">
        <f>IF(J15=1,"Please insert delivery address below"," ")</f>
        <v xml:space="preserve"> </v>
      </c>
      <c r="G17" s="585"/>
      <c r="H17" s="586"/>
    </row>
    <row r="18" spans="1:12" ht="15.95" customHeight="1">
      <c r="A18" s="562" t="s">
        <v>27</v>
      </c>
      <c r="B18" s="563"/>
      <c r="C18" s="78"/>
      <c r="D18" s="596" t="s">
        <v>245</v>
      </c>
      <c r="E18" s="597"/>
      <c r="F18" s="587"/>
      <c r="G18" s="588"/>
      <c r="H18" s="589"/>
    </row>
    <row r="19" spans="1:12" ht="15.95" customHeight="1">
      <c r="A19" s="562" t="s">
        <v>4</v>
      </c>
      <c r="B19" s="563"/>
      <c r="C19" s="69"/>
      <c r="D19" s="598"/>
      <c r="E19" s="599"/>
      <c r="F19" s="590"/>
      <c r="G19" s="591"/>
      <c r="H19" s="592"/>
    </row>
    <row r="20" spans="1:12" ht="15.75" customHeight="1">
      <c r="A20" s="564" t="s">
        <v>5</v>
      </c>
      <c r="B20" s="565"/>
      <c r="C20" s="69"/>
      <c r="D20" s="600"/>
      <c r="E20" s="601"/>
      <c r="F20" s="593"/>
      <c r="G20" s="594"/>
      <c r="H20" s="595"/>
    </row>
    <row r="21" spans="1:12" ht="15.95" customHeight="1">
      <c r="A21" s="559" t="s">
        <v>68</v>
      </c>
      <c r="B21" s="560"/>
      <c r="C21" s="561"/>
      <c r="D21" s="564" t="s">
        <v>7</v>
      </c>
      <c r="E21" s="565"/>
      <c r="F21" s="566" t="s">
        <v>282</v>
      </c>
      <c r="G21" s="567"/>
      <c r="H21" s="568"/>
    </row>
    <row r="22" spans="1:12" s="18" customFormat="1" ht="15.95" customHeight="1">
      <c r="A22" s="562" t="s">
        <v>4</v>
      </c>
      <c r="B22" s="563"/>
      <c r="C22" s="79"/>
      <c r="D22" s="559" t="s">
        <v>13</v>
      </c>
      <c r="E22" s="560"/>
      <c r="F22" s="560"/>
      <c r="G22" s="560"/>
      <c r="H22" s="561"/>
    </row>
    <row r="23" spans="1:12" s="18" customFormat="1" ht="15.95" customHeight="1">
      <c r="A23" s="368"/>
      <c r="B23" s="369" t="s">
        <v>5</v>
      </c>
      <c r="C23" s="69"/>
      <c r="D23" s="569" t="s">
        <v>15</v>
      </c>
      <c r="E23" s="570"/>
      <c r="F23" s="602"/>
      <c r="G23" s="603"/>
      <c r="H23" s="604"/>
    </row>
    <row r="24" spans="1:12" ht="15.95" customHeight="1">
      <c r="A24" s="559" t="s">
        <v>82</v>
      </c>
      <c r="B24" s="560"/>
      <c r="C24" s="561"/>
      <c r="D24" s="564" t="s">
        <v>18</v>
      </c>
      <c r="E24" s="565"/>
      <c r="F24" s="571"/>
      <c r="G24" s="572"/>
      <c r="H24" s="573"/>
    </row>
    <row r="25" spans="1:12" s="18" customFormat="1" ht="15.95" customHeight="1">
      <c r="A25" s="562" t="s">
        <v>8</v>
      </c>
      <c r="B25" s="563"/>
      <c r="C25" s="80"/>
      <c r="D25" s="580" t="s">
        <v>17</v>
      </c>
      <c r="E25" s="581"/>
      <c r="F25" s="556"/>
      <c r="G25" s="557"/>
      <c r="H25" s="558"/>
    </row>
    <row r="26" spans="1:12" s="18" customFormat="1" ht="15.95" customHeight="1">
      <c r="A26" s="562" t="s">
        <v>9</v>
      </c>
      <c r="B26" s="563"/>
      <c r="C26" s="80"/>
      <c r="D26" s="562" t="s">
        <v>16</v>
      </c>
      <c r="E26" s="563"/>
      <c r="F26" s="82"/>
      <c r="G26" s="370" t="s">
        <v>28</v>
      </c>
      <c r="H26" s="84"/>
    </row>
    <row r="27" spans="1:12" s="18" customFormat="1" ht="15.95" customHeight="1">
      <c r="A27" s="564" t="s">
        <v>10</v>
      </c>
      <c r="B27" s="565"/>
      <c r="C27" s="81"/>
      <c r="D27" s="562" t="s">
        <v>29</v>
      </c>
      <c r="E27" s="563"/>
      <c r="F27" s="83">
        <v>0.5</v>
      </c>
      <c r="G27" s="371" t="s">
        <v>90</v>
      </c>
      <c r="H27" s="85"/>
    </row>
    <row r="28" spans="1:12" ht="15.95" customHeight="1">
      <c r="A28" s="576"/>
      <c r="B28" s="577"/>
      <c r="C28" s="578"/>
      <c r="D28" s="577"/>
      <c r="E28" s="577"/>
      <c r="F28" s="578"/>
      <c r="G28" s="578"/>
      <c r="H28" s="579"/>
      <c r="K28" s="10">
        <v>7.0000000000000007E-2</v>
      </c>
      <c r="L28" s="10">
        <f>F27</f>
        <v>0.5</v>
      </c>
    </row>
    <row r="29" spans="1:12" s="12" customFormat="1" ht="40.5">
      <c r="A29" s="372" t="s">
        <v>83</v>
      </c>
      <c r="B29" s="372" t="s">
        <v>30</v>
      </c>
      <c r="C29" s="574" t="s">
        <v>2</v>
      </c>
      <c r="D29" s="575"/>
      <c r="E29" s="372" t="s">
        <v>48</v>
      </c>
      <c r="F29" s="372" t="s">
        <v>1</v>
      </c>
      <c r="G29" s="372" t="s">
        <v>49</v>
      </c>
      <c r="H29" s="372" t="s">
        <v>0</v>
      </c>
      <c r="I29" s="12" t="s">
        <v>33</v>
      </c>
      <c r="J29" s="12" t="s">
        <v>34</v>
      </c>
      <c r="K29" s="12" t="s">
        <v>35</v>
      </c>
      <c r="L29" s="12" t="s">
        <v>36</v>
      </c>
    </row>
    <row r="30" spans="1:12" s="18" customFormat="1">
      <c r="A30" s="69">
        <v>740</v>
      </c>
      <c r="B30" s="17">
        <v>7</v>
      </c>
      <c r="C30" s="554" t="str">
        <f>IF(ISBLANK(A30),"",IF(ISERROR(VLOOKUP($A30,'Price List 18 October 2012'!$A$5:$P$246,1,FALSE)),"Invalid SKU Number",VLOOKUP($A30,'Price List 18 October 2012'!$A$21:$P$246,2,FALSE)))</f>
        <v>Herbal Aloe Multipack - Soothing Gel - new</v>
      </c>
      <c r="D30" s="555"/>
      <c r="E30" s="88">
        <f>IF(ISBLANK($A30),"",IF($B30="Invalid SKU Number","",VLOOKUP($A30,'Price List 18 October 2012'!$A$22:$P$246,4,FALSE)))</f>
        <v>27.6</v>
      </c>
      <c r="F30" s="89">
        <f>IF($A29="S770",40,IF(ISBLANK($A30),"",IF($B30="Invalid SKU Number","",VLOOKUP($A30,'Price List 18 October 2012'!$A$22:$P$246,6,FALSE))))</f>
        <v>330.81</v>
      </c>
      <c r="G30" s="88">
        <f>IF($A29="S770",$B30*$E30,IF(ISBLANK($A30),"",IF($B30="Invalid SKU Number","",$B30*$E30)))</f>
        <v>193.20000000000002</v>
      </c>
      <c r="H30" s="90">
        <f t="shared" ref="H30:H58" si="0">IF($A29="S770",$B29*$F30,IF(ISBLANK($A30),"",IF($B30="Invalid SKU Number","",$B30*$F30)))</f>
        <v>2315.67</v>
      </c>
      <c r="I30" s="19">
        <f>IF($A29="S770",$H30,IF(ISBLANK($A30),0,VLOOKUP($A30,'Price List 18 October 2012'!$A$22:$P$493,6,FALSE)*$B30))</f>
        <v>2315.67</v>
      </c>
      <c r="J30" s="19">
        <f>IF($A29="S770",$H30,IF(ISBLANK($A30),0,VLOOKUP($A30,'Price List 18 October 2012'!$A$22:$P$493,5,FALSE)*$B30))</f>
        <v>2315.67</v>
      </c>
      <c r="K30" s="19">
        <f>IF($A29="S770",0,IF(ISBLANK($A30),0,IF($A30="S816",$J30*$K$28,IF(VLOOKUP($A30,'Price List 18 October 2012'!$A$19:$P$493,7,FALSE)="P",$K$28*$I30,IF(VLOOKUP($A30,'Price List 18 October 2012'!$A$19:$GH$493,7,FALSE)="L",0,IF(VLOOKUP($A30,'Price List 18 October 2012'!$A$22:$P$493,7,FALSE)="A",$K$28*I30))))))</f>
        <v>162.09690000000003</v>
      </c>
      <c r="L30" s="19">
        <f>IF($A29="S770",0,IF(ISBLANK($A30),0,IF(VLOOKUP($A30,'Price List 18 October 2012'!$A$22:$P$493,7,FALSE)="p",$L$28*$J30,IF(VLOOKUP($A30,'Price List 18 October 2012'!$A$22:$P$493,7,FALSE)="L",0,IF(VLOOKUP($A30,'Price List 18 October 2012'!$A$22:$P$493,7,FALSE)="a",0)))))</f>
        <v>1157.835</v>
      </c>
    </row>
    <row r="31" spans="1:12" s="18" customFormat="1">
      <c r="A31" s="16">
        <v>736</v>
      </c>
      <c r="B31" s="17">
        <v>1</v>
      </c>
      <c r="C31" s="554" t="str">
        <f>IF(ISBLANK(A31),"",IF(ISERROR(VLOOKUP($A31,'Price List 18 October 2012'!$A$5:$P$246,1,FALSE)),"Invalid SKU Number",VLOOKUP($A31,'Price List 18 October 2012'!$A$21:$P$246,2,FALSE)))</f>
        <v>Herbal Aloe Multipack - Strengthening Shampoo- new</v>
      </c>
      <c r="D31" s="555"/>
      <c r="E31" s="88">
        <f>IF(ISBLANK($A31),"",IF($B31="Invalid SKU Number","",VLOOKUP($A31,'Price List 18 October 2012'!$A$22:$P$246,4,FALSE)))</f>
        <v>27.6</v>
      </c>
      <c r="F31" s="89">
        <f>IF($A30="S770",40,IF(ISBLANK($A31),"",IF($B31="Invalid SKU Number","",VLOOKUP($A31,'Price List 18 October 2012'!$A$22:$P$246,6,FALSE))))</f>
        <v>313.66000000000003</v>
      </c>
      <c r="G31" s="88">
        <f t="shared" ref="G31:G58" si="1">IF($A30="S770",$B31*$E31,IF(ISBLANK($A31),"",IF($B31="Invalid SKU Number","",$B31*$E31)))</f>
        <v>27.6</v>
      </c>
      <c r="H31" s="90">
        <f t="shared" si="0"/>
        <v>313.66000000000003</v>
      </c>
      <c r="I31" s="19">
        <f>IF($A30="S770",$H31,IF(ISBLANK($A31),0,VLOOKUP($A31,'Price List 18 October 2012'!$A$22:$P$493,6,FALSE)*$B31))</f>
        <v>313.66000000000003</v>
      </c>
      <c r="J31" s="19">
        <f>IF($A30="S770",$H31,IF(ISBLANK($A31),0,VLOOKUP($A31,'Price List 18 October 2012'!$A$22:$P$493,5,FALSE)*$B31))</f>
        <v>313.66000000000003</v>
      </c>
      <c r="K31" s="19">
        <f>IF($A30="S770",0,IF(ISBLANK($A31),0,IF($A31="S816",$J31*$K$28,IF(VLOOKUP($A31,'Price List 18 October 2012'!$A$19:$P$493,7,FALSE)="P",$K$28*$I31,IF(VLOOKUP($A31,'Price List 18 October 2012'!$A$19:$GH$493,7,FALSE)="L",0,IF(VLOOKUP($A31,'Price List 18 October 2012'!$A$22:$P$493,7,FALSE)="A",$K$28*I31))))))</f>
        <v>21.956200000000003</v>
      </c>
      <c r="L31" s="19">
        <f>IF($A30="S770",0,IF(ISBLANK($A31),0,IF(VLOOKUP($A31,'Price List 18 October 2012'!$A$22:$P$493,7,FALSE)="p",$L$28*$J31,IF(VLOOKUP($A31,'Price List 18 October 2012'!$A$22:$P$493,7,FALSE)="L",0,IF(VLOOKUP($A31,'Price List 18 October 2012'!$A$22:$P$493,7,FALSE)="a",0)))))</f>
        <v>156.83000000000001</v>
      </c>
    </row>
    <row r="32" spans="1:12" s="18" customFormat="1">
      <c r="A32" s="16"/>
      <c r="B32" s="17"/>
      <c r="C32" s="554" t="str">
        <f>IF(ISBLANK(A32),"",IF(ISERROR(VLOOKUP($A32,'Price List 18 October 2012'!$A$5:$P$246,1,FALSE)),"Invalid SKU Number",VLOOKUP($A32,'Price List 18 October 2012'!$A$21:$P$246,2,FALSE)))</f>
        <v/>
      </c>
      <c r="D32" s="555"/>
      <c r="E32" s="88" t="str">
        <f>IF(ISBLANK($A32),"",IF($B32="Invalid SKU Number","",VLOOKUP($A32,'Price List 18 October 2012'!$A$22:$P$246,4,FALSE)))</f>
        <v/>
      </c>
      <c r="F32" s="89" t="str">
        <f>IF($A31="S770",40,IF(ISBLANK($A32),"",IF($B32="Invalid SKU Number","",VLOOKUP($A32,'Price List 18 October 2012'!$A$22:$P$246,6,FALSE))))</f>
        <v/>
      </c>
      <c r="G32" s="88" t="str">
        <f t="shared" si="1"/>
        <v/>
      </c>
      <c r="H32" s="90" t="str">
        <f t="shared" si="0"/>
        <v/>
      </c>
      <c r="I32" s="19">
        <f>IF($A31="S770",$H32,IF(ISBLANK($A32),0,VLOOKUP($A32,'Price List 18 October 2012'!$A$22:$P$493,6,FALSE)*$B32))</f>
        <v>0</v>
      </c>
      <c r="J32" s="19">
        <f>IF($A31="S770",$H32,IF(ISBLANK($A32),0,VLOOKUP($A32,'Price List 18 October 2012'!$A$22:$P$493,5,FALSE)*$B32))</f>
        <v>0</v>
      </c>
      <c r="K32" s="19">
        <f>IF($A31="S770",0,IF(ISBLANK($A32),0,IF($A32="S816",$J32*$K$28,IF(VLOOKUP($A32,'Price List 18 October 2012'!$A$19:$P$493,7,FALSE)="P",$K$28*$I32,IF(VLOOKUP($A32,'Price List 18 October 2012'!$A$19:$GH$493,7,FALSE)="L",0,IF(VLOOKUP($A32,'Price List 18 October 2012'!$A$22:$P$493,7,FALSE)="A",$K$28*I32))))))</f>
        <v>0</v>
      </c>
      <c r="L32" s="19">
        <f>IF($A31="S770",0,IF(ISBLANK($A32),0,IF(VLOOKUP($A32,'Price List 18 October 2012'!$A$22:$P$493,7,FALSE)="p",$L$28*$J32,IF(VLOOKUP($A32,'Price List 18 October 2012'!$A$22:$P$493,7,FALSE)="L",0,IF(VLOOKUP($A32,'Price List 18 October 2012'!$A$22:$P$493,7,FALSE)="a",0)))))</f>
        <v>0</v>
      </c>
    </row>
    <row r="33" spans="1:12" s="18" customFormat="1">
      <c r="A33" s="16"/>
      <c r="B33" s="17"/>
      <c r="C33" s="554" t="str">
        <f>IF(ISBLANK(A33),"",IF(ISERROR(VLOOKUP($A33,'Price List 18 October 2012'!$A$5:$P$246,1,FALSE)),"Invalid SKU Number",VLOOKUP($A33,'Price List 18 October 2012'!$A$21:$P$246,2,FALSE)))</f>
        <v/>
      </c>
      <c r="D33" s="555"/>
      <c r="E33" s="88" t="str">
        <f>IF(ISBLANK($A33),"",IF($B33="Invalid SKU Number","",VLOOKUP($A33,'Price List 18 October 2012'!$A$22:$P$246,4,FALSE)))</f>
        <v/>
      </c>
      <c r="F33" s="89" t="str">
        <f>IF($A32="S770",40,IF(ISBLANK($A33),"",IF($B33="Invalid SKU Number","",VLOOKUP($A33,'Price List 18 October 2012'!$A$22:$P$246,6,FALSE))))</f>
        <v/>
      </c>
      <c r="G33" s="88" t="str">
        <f t="shared" si="1"/>
        <v/>
      </c>
      <c r="H33" s="90" t="str">
        <f t="shared" si="0"/>
        <v/>
      </c>
      <c r="I33" s="19">
        <f>IF($A32="S770",$H33,IF(ISBLANK($A33),0,VLOOKUP($A33,'Price List 18 October 2012'!$A$22:$P$493,6,FALSE)*$B33))</f>
        <v>0</v>
      </c>
      <c r="J33" s="19">
        <f>IF($A32="S770",$H33,IF(ISBLANK($A33),0,VLOOKUP($A33,'Price List 18 October 2012'!$A$22:$P$493,5,FALSE)*$B33))</f>
        <v>0</v>
      </c>
      <c r="K33" s="19">
        <f>IF($A32="S770",0,IF(ISBLANK($A33),0,IF($A33="S816",$J33*$K$28,IF(VLOOKUP($A33,'Price List 18 October 2012'!$A$19:$P$493,7,FALSE)="P",$K$28*$I33,IF(VLOOKUP($A33,'Price List 18 October 2012'!$A$19:$GH$493,7,FALSE)="L",0,IF(VLOOKUP($A33,'Price List 18 October 2012'!$A$22:$P$493,7,FALSE)="A",$K$28*I33))))))</f>
        <v>0</v>
      </c>
      <c r="L33" s="19">
        <f>IF($A32="S770",0,IF(ISBLANK($A33),0,IF(VLOOKUP($A33,'Price List 18 October 2012'!$A$22:$P$493,7,FALSE)="p",$L$28*$J33,IF(VLOOKUP($A33,'Price List 18 October 2012'!$A$22:$P$493,7,FALSE)="L",0,IF(VLOOKUP($A33,'Price List 18 October 2012'!$A$22:$P$493,7,FALSE)="a",0)))))</f>
        <v>0</v>
      </c>
    </row>
    <row r="34" spans="1:12" s="18" customFormat="1">
      <c r="A34" s="16"/>
      <c r="B34" s="17"/>
      <c r="C34" s="554" t="str">
        <f>IF(ISBLANK(A34),"",IF(ISERROR(VLOOKUP($A34,'Price List 18 October 2012'!$A$5:$P$246,1,FALSE)),"Invalid SKU Number",VLOOKUP($A34,'Price List 18 October 2012'!$A$21:$P$246,2,FALSE)))</f>
        <v/>
      </c>
      <c r="D34" s="555"/>
      <c r="E34" s="88" t="str">
        <f>IF(ISBLANK($A34),"",IF($B34="Invalid SKU Number","",VLOOKUP($A34,'Price List 18 October 2012'!$A$22:$P$246,4,FALSE)))</f>
        <v/>
      </c>
      <c r="F34" s="89" t="str">
        <f>IF($A33="S770",40,IF(ISBLANK($A34),"",IF($B34="Invalid SKU Number","",VLOOKUP($A34,'Price List 18 October 2012'!$A$22:$P$246,6,FALSE))))</f>
        <v/>
      </c>
      <c r="G34" s="88" t="str">
        <f t="shared" si="1"/>
        <v/>
      </c>
      <c r="H34" s="90" t="str">
        <f t="shared" si="0"/>
        <v/>
      </c>
      <c r="I34" s="19">
        <f>IF($A33="S770",$H34,IF(ISBLANK($A34),0,VLOOKUP($A34,'Price List 18 October 2012'!$A$22:$P$493,6,FALSE)*$B34))</f>
        <v>0</v>
      </c>
      <c r="J34" s="19">
        <f>IF($A33="S770",$H34,IF(ISBLANK($A34),0,VLOOKUP($A34,'Price List 18 October 2012'!$A$22:$P$493,5,FALSE)*$B34))</f>
        <v>0</v>
      </c>
      <c r="K34" s="19">
        <f>IF($A33="S770",0,IF(ISBLANK($A34),0,IF($A34="S816",$J34*$K$28,IF(VLOOKUP($A34,'Price List 18 October 2012'!$A$19:$P$493,7,FALSE)="P",$K$28*$I34,IF(VLOOKUP($A34,'Price List 18 October 2012'!$A$19:$GH$493,7,FALSE)="L",0,IF(VLOOKUP($A34,'Price List 18 October 2012'!$A$22:$P$493,7,FALSE)="A",$K$28*I34))))))</f>
        <v>0</v>
      </c>
      <c r="L34" s="19">
        <f>IF($A33="S770",0,IF(ISBLANK($A34),0,IF(VLOOKUP($A34,'Price List 18 October 2012'!$A$22:$P$493,7,FALSE)="p",$L$28*$J34,IF(VLOOKUP($A34,'Price List 18 October 2012'!$A$22:$P$493,7,FALSE)="L",0,IF(VLOOKUP($A34,'Price List 18 October 2012'!$A$22:$P$493,7,FALSE)="a",0)))))</f>
        <v>0</v>
      </c>
    </row>
    <row r="35" spans="1:12" s="18" customFormat="1">
      <c r="A35" s="16"/>
      <c r="B35" s="17"/>
      <c r="C35" s="554" t="str">
        <f>IF(ISBLANK(A35),"",IF(ISERROR(VLOOKUP($A35,'Price List 18 October 2012'!$A$5:$P$246,1,FALSE)),"Invalid SKU Number",VLOOKUP($A35,'Price List 18 October 2012'!$A$21:$P$246,2,FALSE)))</f>
        <v/>
      </c>
      <c r="D35" s="555"/>
      <c r="E35" s="88" t="str">
        <f>IF(ISBLANK($A35),"",IF($B35="Invalid SKU Number","",VLOOKUP($A35,'Price List 18 October 2012'!$A$22:$P$246,4,FALSE)))</f>
        <v/>
      </c>
      <c r="F35" s="89" t="str">
        <f>IF($A34="S770",40,IF(ISBLANK($A35),"",IF($B35="Invalid SKU Number","",VLOOKUP($A35,'Price List 18 October 2012'!$A$22:$P$246,6,FALSE))))</f>
        <v/>
      </c>
      <c r="G35" s="88" t="str">
        <f t="shared" si="1"/>
        <v/>
      </c>
      <c r="H35" s="90" t="str">
        <f t="shared" si="0"/>
        <v/>
      </c>
      <c r="I35" s="19">
        <f>IF($A34="S770",$H35,IF(ISBLANK($A35),0,VLOOKUP($A35,'Price List 18 October 2012'!$A$22:$P$493,6,FALSE)*$B35))</f>
        <v>0</v>
      </c>
      <c r="J35" s="19">
        <f>IF($A34="S770",$H35,IF(ISBLANK($A35),0,VLOOKUP($A35,'Price List 18 October 2012'!$A$22:$P$493,5,FALSE)*$B35))</f>
        <v>0</v>
      </c>
      <c r="K35" s="19">
        <f>IF($A34="S770",0,IF(ISBLANK($A35),0,IF($A35="S816",$J35*$K$28,IF(VLOOKUP($A35,'Price List 18 October 2012'!$A$19:$P$493,7,FALSE)="P",$K$28*$I35,IF(VLOOKUP($A35,'Price List 18 October 2012'!$A$19:$GH$493,7,FALSE)="L",0,IF(VLOOKUP($A35,'Price List 18 October 2012'!$A$22:$P$493,7,FALSE)="A",$K$28*I35))))))</f>
        <v>0</v>
      </c>
      <c r="L35" s="19">
        <f>IF($A34="S770",0,IF(ISBLANK($A35),0,IF(VLOOKUP($A35,'Price List 18 October 2012'!$A$22:$P$493,7,FALSE)="p",$L$28*$J35,IF(VLOOKUP($A35,'Price List 18 October 2012'!$A$22:$P$493,7,FALSE)="L",0,IF(VLOOKUP($A35,'Price List 18 October 2012'!$A$22:$P$493,7,FALSE)="a",0)))))</f>
        <v>0</v>
      </c>
    </row>
    <row r="36" spans="1:12" s="18" customFormat="1">
      <c r="A36" s="16"/>
      <c r="B36" s="17"/>
      <c r="C36" s="554" t="str">
        <f>IF(ISBLANK(A36),"",IF(ISERROR(VLOOKUP($A36,'Price List 18 October 2012'!$A$5:$P$246,1,FALSE)),"Invalid SKU Number",VLOOKUP($A36,'Price List 18 October 2012'!$A$21:$P$246,2,FALSE)))</f>
        <v/>
      </c>
      <c r="D36" s="555"/>
      <c r="E36" s="88" t="str">
        <f>IF(ISBLANK($A36),"",IF($B36="Invalid SKU Number","",VLOOKUP($A36,'Price List 18 October 2012'!$A$22:$P$246,4,FALSE)))</f>
        <v/>
      </c>
      <c r="F36" s="89" t="str">
        <f>IF($A35="S770",40,IF(ISBLANK($A36),"",IF($B36="Invalid SKU Number","",VLOOKUP($A36,'Price List 18 October 2012'!$A$22:$P$246,6,FALSE))))</f>
        <v/>
      </c>
      <c r="G36" s="88" t="str">
        <f t="shared" si="1"/>
        <v/>
      </c>
      <c r="H36" s="90" t="str">
        <f t="shared" si="0"/>
        <v/>
      </c>
      <c r="I36" s="19">
        <f>IF($A35="S770",$H36,IF(ISBLANK($A36),0,VLOOKUP($A36,'Price List 18 October 2012'!$A$22:$P$493,6,FALSE)*$B36))</f>
        <v>0</v>
      </c>
      <c r="J36" s="19">
        <f>IF($A35="S770",$H36,IF(ISBLANK($A36),0,VLOOKUP($A36,'Price List 18 October 2012'!$A$22:$P$493,5,FALSE)*$B36))</f>
        <v>0</v>
      </c>
      <c r="K36" s="19">
        <f>IF($A35="S770",0,IF(ISBLANK($A36),0,IF($A36="S816",$J36*$K$28,IF(VLOOKUP($A36,'Price List 18 October 2012'!$A$19:$P$493,7,FALSE)="P",$K$28*$I36,IF(VLOOKUP($A36,'Price List 18 October 2012'!$A$19:$GH$493,7,FALSE)="L",0,IF(VLOOKUP($A36,'Price List 18 October 2012'!$A$22:$P$493,7,FALSE)="A",$K$28*I36))))))</f>
        <v>0</v>
      </c>
      <c r="L36" s="19">
        <f>IF($A35="S770",0,IF(ISBLANK($A36),0,IF(VLOOKUP($A36,'Price List 18 October 2012'!$A$22:$P$493,7,FALSE)="p",$L$28*$J36,IF(VLOOKUP($A36,'Price List 18 October 2012'!$A$22:$P$493,7,FALSE)="L",0,IF(VLOOKUP($A36,'Price List 18 October 2012'!$A$22:$P$493,7,FALSE)="a",0)))))</f>
        <v>0</v>
      </c>
    </row>
    <row r="37" spans="1:12" s="18" customFormat="1">
      <c r="A37" s="16"/>
      <c r="B37" s="17"/>
      <c r="C37" s="554" t="str">
        <f>IF(ISBLANK(A37),"",IF(ISERROR(VLOOKUP($A37,'Price List 18 October 2012'!$A$5:$P$246,1,FALSE)),"Invalid SKU Number",VLOOKUP($A37,'Price List 18 October 2012'!$A$21:$P$246,2,FALSE)))</f>
        <v/>
      </c>
      <c r="D37" s="555"/>
      <c r="E37" s="88" t="str">
        <f>IF(ISBLANK($A37),"",IF($B37="Invalid SKU Number","",VLOOKUP($A37,'Price List 18 October 2012'!$A$22:$P$246,4,FALSE)))</f>
        <v/>
      </c>
      <c r="F37" s="89" t="str">
        <f>IF($A36="S770",40,IF(ISBLANK($A37),"",IF($B37="Invalid SKU Number","",VLOOKUP($A37,'Price List 18 October 2012'!$A$22:$P$246,6,FALSE))))</f>
        <v/>
      </c>
      <c r="G37" s="88" t="str">
        <f t="shared" si="1"/>
        <v/>
      </c>
      <c r="H37" s="90" t="str">
        <f t="shared" si="0"/>
        <v/>
      </c>
      <c r="I37" s="19">
        <f>IF($A36="S770",$H37,IF(ISBLANK($A37),0,VLOOKUP($A37,'Price List 18 October 2012'!$A$22:$P$493,6,FALSE)*$B37))</f>
        <v>0</v>
      </c>
      <c r="J37" s="19">
        <f>IF($A36="S770",$H37,IF(ISBLANK($A37),0,VLOOKUP($A37,'Price List 18 October 2012'!$A$22:$P$493,5,FALSE)*$B37))</f>
        <v>0</v>
      </c>
      <c r="K37" s="19">
        <f>IF($A36="S770",0,IF(ISBLANK($A37),0,IF($A37="S816",$J37*$K$28,IF(VLOOKUP($A37,'Price List 18 October 2012'!$A$19:$P$493,7,FALSE)="P",$K$28*$I37,IF(VLOOKUP($A37,'Price List 18 October 2012'!$A$19:$GH$493,7,FALSE)="L",0,IF(VLOOKUP($A37,'Price List 18 October 2012'!$A$22:$P$493,7,FALSE)="A",$K$28*I37))))))</f>
        <v>0</v>
      </c>
      <c r="L37" s="19">
        <f>IF($A36="S770",0,IF(ISBLANK($A37),0,IF(VLOOKUP($A37,'Price List 18 October 2012'!$A$22:$P$493,7,FALSE)="p",$L$28*$J37,IF(VLOOKUP($A37,'Price List 18 October 2012'!$A$22:$P$493,7,FALSE)="L",0,IF(VLOOKUP($A37,'Price List 18 October 2012'!$A$22:$P$493,7,FALSE)="a",0)))))</f>
        <v>0</v>
      </c>
    </row>
    <row r="38" spans="1:12" s="18" customFormat="1">
      <c r="A38" s="16"/>
      <c r="B38" s="17"/>
      <c r="C38" s="554" t="str">
        <f>IF(ISBLANK(A38),"",IF(ISERROR(VLOOKUP($A38,'Price List 18 October 2012'!$A$5:$P$246,1,FALSE)),"Invalid SKU Number",VLOOKUP($A38,'Price List 18 October 2012'!$A$21:$P$246,2,FALSE)))</f>
        <v/>
      </c>
      <c r="D38" s="555"/>
      <c r="E38" s="88" t="str">
        <f>IF(ISBLANK($A38),"",IF($B38="Invalid SKU Number","",VLOOKUP($A38,'Price List 18 October 2012'!$A$22:$P$246,4,FALSE)))</f>
        <v/>
      </c>
      <c r="F38" s="89" t="str">
        <f>IF($A37="S770",40,IF(ISBLANK($A38),"",IF($B38="Invalid SKU Number","",VLOOKUP($A38,'Price List 18 October 2012'!$A$22:$P$246,6,FALSE))))</f>
        <v/>
      </c>
      <c r="G38" s="88" t="str">
        <f t="shared" si="1"/>
        <v/>
      </c>
      <c r="H38" s="90" t="str">
        <f t="shared" si="0"/>
        <v/>
      </c>
      <c r="I38" s="19">
        <f>IF($A37="S770",$H38,IF(ISBLANK($A38),0,VLOOKUP($A38,'Price List 18 October 2012'!$A$22:$P$493,6,FALSE)*$B38))</f>
        <v>0</v>
      </c>
      <c r="J38" s="19">
        <f>IF($A37="S770",$H38,IF(ISBLANK($A38),0,VLOOKUP($A38,'Price List 18 October 2012'!$A$22:$P$493,5,FALSE)*$B38))</f>
        <v>0</v>
      </c>
      <c r="K38" s="19">
        <f>IF($A37="S770",0,IF(ISBLANK($A38),0,IF($A38="S816",$J38*$K$28,IF(VLOOKUP($A38,'Price List 18 October 2012'!$A$19:$P$493,7,FALSE)="P",$K$28*$I38,IF(VLOOKUP($A38,'Price List 18 October 2012'!$A$19:$GH$493,7,FALSE)="L",0,IF(VLOOKUP($A38,'Price List 18 October 2012'!$A$22:$P$493,7,FALSE)="A",$K$28*I38))))))</f>
        <v>0</v>
      </c>
      <c r="L38" s="19">
        <f>IF($A37="S770",0,IF(ISBLANK($A38),0,IF(VLOOKUP($A38,'Price List 18 October 2012'!$A$22:$P$493,7,FALSE)="p",$L$28*$J38,IF(VLOOKUP($A38,'Price List 18 October 2012'!$A$22:$P$493,7,FALSE)="L",0,IF(VLOOKUP($A38,'Price List 18 October 2012'!$A$22:$P$493,7,FALSE)="a",0)))))</f>
        <v>0</v>
      </c>
    </row>
    <row r="39" spans="1:12" s="18" customFormat="1">
      <c r="A39" s="16"/>
      <c r="B39" s="17"/>
      <c r="C39" s="554" t="str">
        <f>IF(ISBLANK(A39),"",IF(ISERROR(VLOOKUP($A39,'Price List 18 October 2012'!$A$5:$P$246,1,FALSE)),"Invalid SKU Number",VLOOKUP($A39,'Price List 18 October 2012'!$A$21:$P$246,2,FALSE)))</f>
        <v/>
      </c>
      <c r="D39" s="555"/>
      <c r="E39" s="88" t="str">
        <f>IF(ISBLANK($A39),"",IF($B39="Invalid SKU Number","",VLOOKUP($A39,'Price List 18 October 2012'!$A$22:$P$246,4,FALSE)))</f>
        <v/>
      </c>
      <c r="F39" s="89" t="str">
        <f>IF($A38="S770",40,IF(ISBLANK($A39),"",IF($B39="Invalid SKU Number","",VLOOKUP($A39,'Price List 18 October 2012'!$A$22:$P$246,6,FALSE))))</f>
        <v/>
      </c>
      <c r="G39" s="88" t="str">
        <f t="shared" si="1"/>
        <v/>
      </c>
      <c r="H39" s="90" t="str">
        <f t="shared" si="0"/>
        <v/>
      </c>
      <c r="I39" s="19">
        <f>IF($A38="S770",$H39,IF(ISBLANK($A39),0,VLOOKUP($A39,'Price List 18 October 2012'!$A$22:$P$493,6,FALSE)*$B39))</f>
        <v>0</v>
      </c>
      <c r="J39" s="19">
        <f>IF($A38="S770",$H39,IF(ISBLANK($A39),0,VLOOKUP($A39,'Price List 18 October 2012'!$A$22:$P$493,5,FALSE)*$B39))</f>
        <v>0</v>
      </c>
      <c r="K39" s="19">
        <f>IF($A38="S770",0,IF(ISBLANK($A39),0,IF($A39="S816",$J39*$K$28,IF(VLOOKUP($A39,'Price List 18 October 2012'!$A$19:$P$493,7,FALSE)="P",$K$28*$I39,IF(VLOOKUP($A39,'Price List 18 October 2012'!$A$19:$GH$493,7,FALSE)="L",0,IF(VLOOKUP($A39,'Price List 18 October 2012'!$A$22:$P$493,7,FALSE)="A",$K$28*I39))))))</f>
        <v>0</v>
      </c>
      <c r="L39" s="19">
        <f>IF($A38="S770",0,IF(ISBLANK($A39),0,IF(VLOOKUP($A39,'Price List 18 October 2012'!$A$22:$P$493,7,FALSE)="p",$L$28*$J39,IF(VLOOKUP($A39,'Price List 18 October 2012'!$A$22:$P$493,7,FALSE)="L",0,IF(VLOOKUP($A39,'Price List 18 October 2012'!$A$22:$P$493,7,FALSE)="a",0)))))</f>
        <v>0</v>
      </c>
    </row>
    <row r="40" spans="1:12" s="18" customFormat="1">
      <c r="A40" s="16"/>
      <c r="B40" s="17"/>
      <c r="C40" s="554" t="str">
        <f>IF(ISBLANK(A40),"",IF(ISERROR(VLOOKUP($A40,'Price List 18 October 2012'!$A$5:$P$246,1,FALSE)),"Invalid SKU Number",VLOOKUP($A40,'Price List 18 October 2012'!$A$21:$P$246,2,FALSE)))</f>
        <v/>
      </c>
      <c r="D40" s="555"/>
      <c r="E40" s="88" t="str">
        <f>IF(ISBLANK($A40),"",IF($B40="Invalid SKU Number","",VLOOKUP($A40,'Price List 18 October 2012'!$A$22:$P$246,4,FALSE)))</f>
        <v/>
      </c>
      <c r="F40" s="89" t="str">
        <f>IF($A39="S770",40,IF(ISBLANK($A40),"",IF($B40="Invalid SKU Number","",VLOOKUP($A40,'Price List 18 October 2012'!$A$22:$P$246,6,FALSE))))</f>
        <v/>
      </c>
      <c r="G40" s="88" t="str">
        <f t="shared" si="1"/>
        <v/>
      </c>
      <c r="H40" s="90" t="str">
        <f t="shared" si="0"/>
        <v/>
      </c>
      <c r="I40" s="19">
        <f>IF($A39="S770",$H40,IF(ISBLANK($A40),0,VLOOKUP($A40,'Price List 18 October 2012'!$A$22:$P$493,6,FALSE)*$B40))</f>
        <v>0</v>
      </c>
      <c r="J40" s="19">
        <f>IF($A39="S770",$H40,IF(ISBLANK($A40),0,VLOOKUP($A40,'Price List 18 October 2012'!$A$22:$P$493,5,FALSE)*$B40))</f>
        <v>0</v>
      </c>
      <c r="K40" s="19">
        <f>IF($A39="S770",0,IF(ISBLANK($A40),0,IF($A40="S816",$J40*$K$28,IF(VLOOKUP($A40,'Price List 18 October 2012'!$A$19:$P$493,7,FALSE)="P",$K$28*$I40,IF(VLOOKUP($A40,'Price List 18 October 2012'!$A$19:$GH$493,7,FALSE)="L",0,IF(VLOOKUP($A40,'Price List 18 October 2012'!$A$22:$P$493,7,FALSE)="A",$K$28*I40))))))</f>
        <v>0</v>
      </c>
      <c r="L40" s="19">
        <f>IF($A39="S770",0,IF(ISBLANK($A40),0,IF(VLOOKUP($A40,'Price List 18 October 2012'!$A$22:$P$493,7,FALSE)="p",$L$28*$J40,IF(VLOOKUP($A40,'Price List 18 October 2012'!$A$22:$P$493,7,FALSE)="L",0,IF(VLOOKUP($A40,'Price List 18 October 2012'!$A$22:$P$493,7,FALSE)="a",0)))))</f>
        <v>0</v>
      </c>
    </row>
    <row r="41" spans="1:12" s="18" customFormat="1">
      <c r="A41" s="16"/>
      <c r="B41" s="17"/>
      <c r="C41" s="554" t="str">
        <f>IF(ISBLANK(A41),"",IF(ISERROR(VLOOKUP($A41,'Price List 18 October 2012'!$A$5:$P$246,1,FALSE)),"Invalid SKU Number",VLOOKUP($A41,'Price List 18 October 2012'!$A$21:$P$246,2,FALSE)))</f>
        <v/>
      </c>
      <c r="D41" s="555"/>
      <c r="E41" s="88" t="str">
        <f>IF(ISBLANK($A41),"",IF($B41="Invalid SKU Number","",VLOOKUP($A41,'Price List 18 October 2012'!$A$22:$P$246,4,FALSE)))</f>
        <v/>
      </c>
      <c r="F41" s="89" t="str">
        <f>IF($A40="S770",40,IF(ISBLANK($A41),"",IF($B41="Invalid SKU Number","",VLOOKUP($A41,'Price List 18 October 2012'!$A$22:$P$246,6,FALSE))))</f>
        <v/>
      </c>
      <c r="G41" s="88" t="str">
        <f t="shared" si="1"/>
        <v/>
      </c>
      <c r="H41" s="90" t="str">
        <f t="shared" si="0"/>
        <v/>
      </c>
      <c r="I41" s="19">
        <f>IF($A40="S770",$H41,IF(ISBLANK($A41),0,VLOOKUP($A41,'Price List 18 October 2012'!$A$22:$P$493,6,FALSE)*$B41))</f>
        <v>0</v>
      </c>
      <c r="J41" s="19">
        <f>IF($A40="S770",$H41,IF(ISBLANK($A41),0,VLOOKUP($A41,'Price List 18 October 2012'!$A$22:$P$493,5,FALSE)*$B41))</f>
        <v>0</v>
      </c>
      <c r="K41" s="19">
        <f>IF($A40="S770",0,IF(ISBLANK($A41),0,IF($A41="S816",$J41*$K$28,IF(VLOOKUP($A41,'Price List 18 October 2012'!$A$19:$P$493,7,FALSE)="P",$K$28*$I41,IF(VLOOKUP($A41,'Price List 18 October 2012'!$A$19:$GH$493,7,FALSE)="L",0,IF(VLOOKUP($A41,'Price List 18 October 2012'!$A$22:$P$493,7,FALSE)="A",$K$28*I41))))))</f>
        <v>0</v>
      </c>
      <c r="L41" s="19">
        <f>IF($A40="S770",0,IF(ISBLANK($A41),0,IF(VLOOKUP($A41,'Price List 18 October 2012'!$A$22:$P$493,7,FALSE)="p",$L$28*$J41,IF(VLOOKUP($A41,'Price List 18 October 2012'!$A$22:$P$493,7,FALSE)="L",0,IF(VLOOKUP($A41,'Price List 18 October 2012'!$A$22:$P$493,7,FALSE)="a",0)))))</f>
        <v>0</v>
      </c>
    </row>
    <row r="42" spans="1:12" s="18" customFormat="1">
      <c r="A42" s="16"/>
      <c r="B42" s="17"/>
      <c r="C42" s="554" t="str">
        <f>IF(ISBLANK(A42),"",IF(ISERROR(VLOOKUP($A42,'Price List 18 October 2012'!$A$5:$P$246,1,FALSE)),"Invalid SKU Number",VLOOKUP($A42,'Price List 18 October 2012'!$A$21:$P$246,2,FALSE)))</f>
        <v/>
      </c>
      <c r="D42" s="555"/>
      <c r="E42" s="88" t="str">
        <f>IF(ISBLANK($A42),"",IF($B42="Invalid SKU Number","",VLOOKUP($A42,'Price List 18 October 2012'!$A$22:$P$246,4,FALSE)))</f>
        <v/>
      </c>
      <c r="F42" s="89" t="str">
        <f>IF($A41="S770",40,IF(ISBLANK($A42),"",IF($B42="Invalid SKU Number","",VLOOKUP($A42,'Price List 18 October 2012'!$A$22:$P$246,6,FALSE))))</f>
        <v/>
      </c>
      <c r="G42" s="88" t="str">
        <f t="shared" si="1"/>
        <v/>
      </c>
      <c r="H42" s="90" t="str">
        <f t="shared" si="0"/>
        <v/>
      </c>
      <c r="I42" s="19">
        <f>IF($A41="S770",$H42,IF(ISBLANK($A42),0,VLOOKUP($A42,'Price List 18 October 2012'!$A$22:$P$493,6,FALSE)*$B42))</f>
        <v>0</v>
      </c>
      <c r="J42" s="19">
        <f>IF($A41="S770",$H42,IF(ISBLANK($A42),0,VLOOKUP($A42,'Price List 18 October 2012'!$A$22:$P$493,5,FALSE)*$B42))</f>
        <v>0</v>
      </c>
      <c r="K42" s="19">
        <f>IF($A41="S770",0,IF(ISBLANK($A42),0,IF($A42="S816",$J42*$K$28,IF(VLOOKUP($A42,'Price List 18 October 2012'!$A$19:$P$493,7,FALSE)="P",$K$28*$I42,IF(VLOOKUP($A42,'Price List 18 October 2012'!$A$19:$GH$493,7,FALSE)="L",0,IF(VLOOKUP($A42,'Price List 18 October 2012'!$A$22:$P$493,7,FALSE)="A",$K$28*I42))))))</f>
        <v>0</v>
      </c>
      <c r="L42" s="19">
        <f>IF($A41="S770",0,IF(ISBLANK($A42),0,IF(VLOOKUP($A42,'Price List 18 October 2012'!$A$22:$P$493,7,FALSE)="p",$L$28*$J42,IF(VLOOKUP($A42,'Price List 18 October 2012'!$A$22:$P$493,7,FALSE)="L",0,IF(VLOOKUP($A42,'Price List 18 October 2012'!$A$22:$P$493,7,FALSE)="a",0)))))</f>
        <v>0</v>
      </c>
    </row>
    <row r="43" spans="1:12" s="18" customFormat="1">
      <c r="A43" s="16"/>
      <c r="B43" s="17"/>
      <c r="C43" s="554" t="str">
        <f>IF(ISBLANK(A43),"",IF(ISERROR(VLOOKUP($A43,'Price List 18 October 2012'!$A$5:$P$246,1,FALSE)),"Invalid SKU Number",VLOOKUP($A43,'Price List 18 October 2012'!$A$21:$P$246,2,FALSE)))</f>
        <v/>
      </c>
      <c r="D43" s="555"/>
      <c r="E43" s="88" t="str">
        <f>IF(ISBLANK($A43),"",IF($B43="Invalid SKU Number","",VLOOKUP($A43,'Price List 18 October 2012'!$A$22:$P$246,4,FALSE)))</f>
        <v/>
      </c>
      <c r="F43" s="89" t="str">
        <f>IF($A42="S770",40,IF(ISBLANK($A43),"",IF($B43="Invalid SKU Number","",VLOOKUP($A43,'Price List 18 October 2012'!$A$22:$P$246,6,FALSE))))</f>
        <v/>
      </c>
      <c r="G43" s="88" t="str">
        <f t="shared" si="1"/>
        <v/>
      </c>
      <c r="H43" s="90" t="str">
        <f t="shared" si="0"/>
        <v/>
      </c>
      <c r="I43" s="19">
        <f>IF($A42="S770",$H43,IF(ISBLANK($A43),0,VLOOKUP($A43,'Price List 18 October 2012'!$A$22:$P$493,6,FALSE)*$B43))</f>
        <v>0</v>
      </c>
      <c r="J43" s="19">
        <f>IF($A42="S770",$H43,IF(ISBLANK($A43),0,VLOOKUP($A43,'Price List 18 October 2012'!$A$22:$P$493,5,FALSE)*$B43))</f>
        <v>0</v>
      </c>
      <c r="K43" s="19">
        <f>IF($A42="S770",0,IF(ISBLANK($A43),0,IF($A43="S816",$J43*$K$28,IF(VLOOKUP($A43,'Price List 18 October 2012'!$A$19:$P$493,7,FALSE)="P",$K$28*$I43,IF(VLOOKUP($A43,'Price List 18 October 2012'!$A$19:$GH$493,7,FALSE)="L",0,IF(VLOOKUP($A43,'Price List 18 October 2012'!$A$22:$P$493,7,FALSE)="A",$K$28*I43))))))</f>
        <v>0</v>
      </c>
      <c r="L43" s="19">
        <f>IF($A42="S770",0,IF(ISBLANK($A43),0,IF(VLOOKUP($A43,'Price List 18 October 2012'!$A$22:$P$493,7,FALSE)="p",$L$28*$J43,IF(VLOOKUP($A43,'Price List 18 October 2012'!$A$22:$P$493,7,FALSE)="L",0,IF(VLOOKUP($A43,'Price List 18 October 2012'!$A$22:$P$493,7,FALSE)="a",0)))))</f>
        <v>0</v>
      </c>
    </row>
    <row r="44" spans="1:12" s="18" customFormat="1">
      <c r="A44" s="16"/>
      <c r="B44" s="17"/>
      <c r="C44" s="554" t="str">
        <f>IF(ISBLANK(A44),"",IF(ISERROR(VLOOKUP($A44,'Price List 18 October 2012'!$A$5:$P$246,1,FALSE)),"Invalid SKU Number",VLOOKUP($A44,'Price List 18 October 2012'!$A$21:$P$246,2,FALSE)))</f>
        <v/>
      </c>
      <c r="D44" s="555"/>
      <c r="E44" s="88" t="str">
        <f>IF(ISBLANK($A44),"",IF($B44="Invalid SKU Number","",VLOOKUP($A44,'Price List 18 October 2012'!$A$22:$P$246,4,FALSE)))</f>
        <v/>
      </c>
      <c r="F44" s="89" t="str">
        <f>IF($A43="S770",40,IF(ISBLANK($A44),"",IF($B44="Invalid SKU Number","",VLOOKUP($A44,'Price List 18 October 2012'!$A$22:$P$246,6,FALSE))))</f>
        <v/>
      </c>
      <c r="G44" s="88" t="str">
        <f t="shared" si="1"/>
        <v/>
      </c>
      <c r="H44" s="90" t="str">
        <f t="shared" si="0"/>
        <v/>
      </c>
      <c r="I44" s="19">
        <f>IF($A43="S770",$H44,IF(ISBLANK($A44),0,VLOOKUP($A44,'Price List 18 October 2012'!$A$22:$P$493,6,FALSE)*$B44))</f>
        <v>0</v>
      </c>
      <c r="J44" s="19">
        <f>IF($A43="S770",$H44,IF(ISBLANK($A44),0,VLOOKUP($A44,'Price List 18 October 2012'!$A$22:$P$493,5,FALSE)*$B44))</f>
        <v>0</v>
      </c>
      <c r="K44" s="19">
        <f>IF($A43="S770",0,IF(ISBLANK($A44),0,IF($A44="S816",$J44*$K$28,IF(VLOOKUP($A44,'Price List 18 October 2012'!$A$19:$P$493,7,FALSE)="P",$K$28*$I44,IF(VLOOKUP($A44,'Price List 18 October 2012'!$A$19:$GH$493,7,FALSE)="L",0,IF(VLOOKUP($A44,'Price List 18 October 2012'!$A$22:$P$493,7,FALSE)="A",$K$28*I44))))))</f>
        <v>0</v>
      </c>
      <c r="L44" s="19">
        <f>IF($A43="S770",0,IF(ISBLANK($A44),0,IF(VLOOKUP($A44,'Price List 18 October 2012'!$A$22:$P$493,7,FALSE)="p",$L$28*$J44,IF(VLOOKUP($A44,'Price List 18 October 2012'!$A$22:$P$493,7,FALSE)="L",0,IF(VLOOKUP($A44,'Price List 18 October 2012'!$A$22:$P$493,7,FALSE)="a",0)))))</f>
        <v>0</v>
      </c>
    </row>
    <row r="45" spans="1:12" s="18" customFormat="1">
      <c r="A45" s="16"/>
      <c r="B45" s="17"/>
      <c r="C45" s="554" t="str">
        <f>IF(ISBLANK(A45),"",IF(ISERROR(VLOOKUP($A45,'Price List 18 October 2012'!$A$5:$P$246,1,FALSE)),"Invalid SKU Number",VLOOKUP($A45,'Price List 18 October 2012'!$A$21:$P$246,2,FALSE)))</f>
        <v/>
      </c>
      <c r="D45" s="555"/>
      <c r="E45" s="88" t="str">
        <f>IF(ISBLANK($A45),"",IF($B45="Invalid SKU Number","",VLOOKUP($A45,'Price List 18 October 2012'!$A$22:$P$246,4,FALSE)))</f>
        <v/>
      </c>
      <c r="F45" s="89" t="str">
        <f>IF($A44="S770",40,IF(ISBLANK($A45),"",IF($B45="Invalid SKU Number","",VLOOKUP($A45,'Price List 18 October 2012'!$A$22:$P$246,6,FALSE))))</f>
        <v/>
      </c>
      <c r="G45" s="88" t="str">
        <f t="shared" si="1"/>
        <v/>
      </c>
      <c r="H45" s="90" t="str">
        <f t="shared" si="0"/>
        <v/>
      </c>
      <c r="I45" s="19">
        <f>IF($A44="S770",$H45,IF(ISBLANK($A45),0,VLOOKUP($A45,'Price List 18 October 2012'!$A$22:$P$493,6,FALSE)*$B45))</f>
        <v>0</v>
      </c>
      <c r="J45" s="19">
        <f>IF($A44="S770",$H45,IF(ISBLANK($A45),0,VLOOKUP($A45,'Price List 18 October 2012'!$A$22:$P$493,5,FALSE)*$B45))</f>
        <v>0</v>
      </c>
      <c r="K45" s="19">
        <f>IF($A44="S770",0,IF(ISBLANK($A45),0,IF($A45="S816",$J45*$K$28,IF(VLOOKUP($A45,'Price List 18 October 2012'!$A$19:$P$493,7,FALSE)="P",$K$28*$I45,IF(VLOOKUP($A45,'Price List 18 October 2012'!$A$19:$GH$493,7,FALSE)="L",0,IF(VLOOKUP($A45,'Price List 18 October 2012'!$A$22:$P$493,7,FALSE)="A",$K$28*I45))))))</f>
        <v>0</v>
      </c>
      <c r="L45" s="19">
        <f>IF($A44="S770",0,IF(ISBLANK($A45),0,IF(VLOOKUP($A45,'Price List 18 October 2012'!$A$22:$P$493,7,FALSE)="p",$L$28*$J45,IF(VLOOKUP($A45,'Price List 18 October 2012'!$A$22:$P$493,7,FALSE)="L",0,IF(VLOOKUP($A45,'Price List 18 October 2012'!$A$22:$P$493,7,FALSE)="a",0)))))</f>
        <v>0</v>
      </c>
    </row>
    <row r="46" spans="1:12" s="18" customFormat="1">
      <c r="A46" s="16"/>
      <c r="B46" s="17"/>
      <c r="C46" s="554" t="str">
        <f>IF(ISBLANK(A46),"",IF(ISERROR(VLOOKUP($A46,'Price List 18 October 2012'!$A$5:$P$246,1,FALSE)),"Invalid SKU Number",VLOOKUP($A46,'Price List 18 October 2012'!$A$21:$P$246,2,FALSE)))</f>
        <v/>
      </c>
      <c r="D46" s="555"/>
      <c r="E46" s="88" t="str">
        <f>IF(ISBLANK($A46),"",IF($B46="Invalid SKU Number","",VLOOKUP($A46,'Price List 18 October 2012'!$A$22:$P$246,4,FALSE)))</f>
        <v/>
      </c>
      <c r="F46" s="89" t="str">
        <f>IF($A45="S770",40,IF(ISBLANK($A46),"",IF($B46="Invalid SKU Number","",VLOOKUP($A46,'Price List 18 October 2012'!$A$22:$P$246,6,FALSE))))</f>
        <v/>
      </c>
      <c r="G46" s="88" t="str">
        <f t="shared" si="1"/>
        <v/>
      </c>
      <c r="H46" s="90" t="str">
        <f t="shared" si="0"/>
        <v/>
      </c>
      <c r="I46" s="19">
        <f>IF($A45="S770",$H46,IF(ISBLANK($A46),0,VLOOKUP($A46,'Price List 18 October 2012'!$A$22:$P$493,6,FALSE)*$B46))</f>
        <v>0</v>
      </c>
      <c r="J46" s="19">
        <f>IF($A45="S770",$H46,IF(ISBLANK($A46),0,VLOOKUP($A46,'Price List 18 October 2012'!$A$22:$P$493,5,FALSE)*$B46))</f>
        <v>0</v>
      </c>
      <c r="K46" s="19">
        <f>IF($A45="S770",0,IF(ISBLANK($A46),0,IF($A46="S816",$J46*$K$28,IF(VLOOKUP($A46,'Price List 18 October 2012'!$A$19:$P$493,7,FALSE)="P",$K$28*$I46,IF(VLOOKUP($A46,'Price List 18 October 2012'!$A$19:$GH$493,7,FALSE)="L",0,IF(VLOOKUP($A46,'Price List 18 October 2012'!$A$22:$P$493,7,FALSE)="A",$K$28*I46))))))</f>
        <v>0</v>
      </c>
      <c r="L46" s="19">
        <f>IF($A45="S770",0,IF(ISBLANK($A46),0,IF(VLOOKUP($A46,'Price List 18 October 2012'!$A$22:$P$493,7,FALSE)="p",$L$28*$J46,IF(VLOOKUP($A46,'Price List 18 October 2012'!$A$22:$P$493,7,FALSE)="L",0,IF(VLOOKUP($A46,'Price List 18 October 2012'!$A$22:$P$493,7,FALSE)="a",0)))))</f>
        <v>0</v>
      </c>
    </row>
    <row r="47" spans="1:12" s="18" customFormat="1">
      <c r="A47" s="16"/>
      <c r="B47" s="17"/>
      <c r="C47" s="554" t="str">
        <f>IF(ISBLANK(A47),"",IF(ISERROR(VLOOKUP($A47,'Price List 18 October 2012'!$A$5:$P$246,1,FALSE)),"Invalid SKU Number",VLOOKUP($A47,'Price List 18 October 2012'!$A$21:$P$246,2,FALSE)))</f>
        <v/>
      </c>
      <c r="D47" s="555"/>
      <c r="E47" s="88" t="str">
        <f>IF(ISBLANK($A47),"",IF($B47="Invalid SKU Number","",VLOOKUP($A47,'Price List 18 October 2012'!$A$22:$P$246,4,FALSE)))</f>
        <v/>
      </c>
      <c r="F47" s="89" t="str">
        <f>IF($A46="S770",40,IF(ISBLANK($A47),"",IF($B47="Invalid SKU Number","",VLOOKUP($A47,'Price List 18 October 2012'!$A$22:$P$246,6,FALSE))))</f>
        <v/>
      </c>
      <c r="G47" s="88" t="str">
        <f t="shared" si="1"/>
        <v/>
      </c>
      <c r="H47" s="90" t="str">
        <f t="shared" si="0"/>
        <v/>
      </c>
      <c r="I47" s="19">
        <f>IF($A46="S770",$H47,IF(ISBLANK($A47),0,VLOOKUP($A47,'Price List 18 October 2012'!$A$22:$P$493,6,FALSE)*$B47))</f>
        <v>0</v>
      </c>
      <c r="J47" s="19">
        <f>IF($A46="S770",$H47,IF(ISBLANK($A47),0,VLOOKUP($A47,'Price List 18 October 2012'!$A$22:$P$493,5,FALSE)*$B47))</f>
        <v>0</v>
      </c>
      <c r="K47" s="19">
        <f>IF($A46="S770",0,IF(ISBLANK($A47),0,IF($A47="S816",$J47*$K$28,IF(VLOOKUP($A47,'Price List 18 October 2012'!$A$19:$P$493,7,FALSE)="P",$K$28*$I47,IF(VLOOKUP($A47,'Price List 18 October 2012'!$A$19:$GH$493,7,FALSE)="L",0,IF(VLOOKUP($A47,'Price List 18 October 2012'!$A$22:$P$493,7,FALSE)="A",$K$28*I47))))))</f>
        <v>0</v>
      </c>
      <c r="L47" s="19">
        <f>IF($A46="S770",0,IF(ISBLANK($A47),0,IF(VLOOKUP($A47,'Price List 18 October 2012'!$A$22:$P$493,7,FALSE)="p",$L$28*$J47,IF(VLOOKUP($A47,'Price List 18 October 2012'!$A$22:$P$493,7,FALSE)="L",0,IF(VLOOKUP($A47,'Price List 18 October 2012'!$A$22:$P$493,7,FALSE)="a",0)))))</f>
        <v>0</v>
      </c>
    </row>
    <row r="48" spans="1:12" s="18" customFormat="1">
      <c r="A48" s="16"/>
      <c r="B48" s="17"/>
      <c r="C48" s="554" t="str">
        <f>IF(ISBLANK(A48),"",IF(ISERROR(VLOOKUP($A48,'Price List 18 October 2012'!$A$5:$P$246,1,FALSE)),"Invalid SKU Number",VLOOKUP($A48,'Price List 18 October 2012'!$A$21:$P$246,2,FALSE)))</f>
        <v/>
      </c>
      <c r="D48" s="555"/>
      <c r="E48" s="88" t="str">
        <f>IF(ISBLANK($A48),"",IF($B48="Invalid SKU Number","",VLOOKUP($A48,'Price List 18 October 2012'!$A$22:$P$246,4,FALSE)))</f>
        <v/>
      </c>
      <c r="F48" s="89" t="str">
        <f>IF($A47="S770",40,IF(ISBLANK($A48),"",IF($B48="Invalid SKU Number","",VLOOKUP($A48,'Price List 18 October 2012'!$A$22:$P$246,6,FALSE))))</f>
        <v/>
      </c>
      <c r="G48" s="88" t="str">
        <f t="shared" si="1"/>
        <v/>
      </c>
      <c r="H48" s="90" t="str">
        <f t="shared" si="0"/>
        <v/>
      </c>
      <c r="I48" s="19">
        <f>IF($A47="S770",$H48,IF(ISBLANK($A48),0,VLOOKUP($A48,'Price List 18 October 2012'!$A$22:$P$493,6,FALSE)*$B48))</f>
        <v>0</v>
      </c>
      <c r="J48" s="19">
        <f>IF($A47="S770",$H48,IF(ISBLANK($A48),0,VLOOKUP($A48,'Price List 18 October 2012'!$A$22:$P$493,5,FALSE)*$B48))</f>
        <v>0</v>
      </c>
      <c r="K48" s="19">
        <f>IF($A47="S770",0,IF(ISBLANK($A48),0,IF($A48="S816",$J48*$K$28,IF(VLOOKUP($A48,'Price List 18 October 2012'!$A$19:$P$493,7,FALSE)="P",$K$28*$I48,IF(VLOOKUP($A48,'Price List 18 October 2012'!$A$19:$GH$493,7,FALSE)="L",0,IF(VLOOKUP($A48,'Price List 18 October 2012'!$A$22:$P$493,7,FALSE)="A",$K$28*I48))))))</f>
        <v>0</v>
      </c>
      <c r="L48" s="19">
        <f>IF($A47="S770",0,IF(ISBLANK($A48),0,IF(VLOOKUP($A48,'Price List 18 October 2012'!$A$22:$P$493,7,FALSE)="p",$L$28*$J48,IF(VLOOKUP($A48,'Price List 18 October 2012'!$A$22:$P$493,7,FALSE)="L",0,IF(VLOOKUP($A48,'Price List 18 October 2012'!$A$22:$P$493,7,FALSE)="a",0)))))</f>
        <v>0</v>
      </c>
    </row>
    <row r="49" spans="1:12" s="18" customFormat="1">
      <c r="A49" s="16"/>
      <c r="B49" s="17"/>
      <c r="C49" s="554" t="str">
        <f>IF(ISBLANK(A49),"",IF(ISERROR(VLOOKUP($A49,'Price List 18 October 2012'!$A$5:$P$246,1,FALSE)),"Invalid SKU Number",VLOOKUP($A49,'Price List 18 October 2012'!$A$21:$P$246,2,FALSE)))</f>
        <v/>
      </c>
      <c r="D49" s="555"/>
      <c r="E49" s="88" t="str">
        <f>IF(ISBLANK($A49),"",IF($B49="Invalid SKU Number","",VLOOKUP($A49,'Price List 18 October 2012'!$A$22:$P$246,4,FALSE)))</f>
        <v/>
      </c>
      <c r="F49" s="89" t="str">
        <f>IF($A48="S770",40,IF(ISBLANK($A49),"",IF($B49="Invalid SKU Number","",VLOOKUP($A49,'Price List 18 October 2012'!$A$22:$P$246,6,FALSE))))</f>
        <v/>
      </c>
      <c r="G49" s="88" t="str">
        <f t="shared" si="1"/>
        <v/>
      </c>
      <c r="H49" s="90" t="str">
        <f t="shared" si="0"/>
        <v/>
      </c>
      <c r="I49" s="19">
        <f>IF($A48="S770",$H49,IF(ISBLANK($A49),0,VLOOKUP($A49,'Price List 18 October 2012'!$A$22:$P$493,6,FALSE)*$B49))</f>
        <v>0</v>
      </c>
      <c r="J49" s="19">
        <f>IF($A48="S770",$H49,IF(ISBLANK($A49),0,VLOOKUP($A49,'Price List 18 October 2012'!$A$22:$P$493,5,FALSE)*$B49))</f>
        <v>0</v>
      </c>
      <c r="K49" s="19">
        <f>IF($A48="S770",0,IF(ISBLANK($A49),0,IF($A49="S816",$J49*$K$28,IF(VLOOKUP($A49,'Price List 18 October 2012'!$A$19:$P$493,7,FALSE)="P",$K$28*$I49,IF(VLOOKUP($A49,'Price List 18 October 2012'!$A$19:$GH$493,7,FALSE)="L",0,IF(VLOOKUP($A49,'Price List 18 October 2012'!$A$22:$P$493,7,FALSE)="A",$K$28*I49))))))</f>
        <v>0</v>
      </c>
      <c r="L49" s="19">
        <f>IF($A48="S770",0,IF(ISBLANK($A49),0,IF(VLOOKUP($A49,'Price List 18 October 2012'!$A$22:$P$493,7,FALSE)="p",$L$28*$J49,IF(VLOOKUP($A49,'Price List 18 October 2012'!$A$22:$P$493,7,FALSE)="L",0,IF(VLOOKUP($A49,'Price List 18 October 2012'!$A$22:$P$493,7,FALSE)="a",0)))))</f>
        <v>0</v>
      </c>
    </row>
    <row r="50" spans="1:12" s="18" customFormat="1">
      <c r="A50" s="16"/>
      <c r="B50" s="17"/>
      <c r="C50" s="554" t="str">
        <f>IF(ISBLANK(A50),"",IF(ISERROR(VLOOKUP($A50,'Price List 18 October 2012'!$A$5:$P$246,1,FALSE)),"Invalid SKU Number",VLOOKUP($A50,'Price List 18 October 2012'!$A$21:$P$246,2,FALSE)))</f>
        <v/>
      </c>
      <c r="D50" s="555"/>
      <c r="E50" s="88" t="str">
        <f>IF(ISBLANK($A50),"",IF($B50="Invalid SKU Number","",VLOOKUP($A50,'Price List 18 October 2012'!$A$22:$P$246,4,FALSE)))</f>
        <v/>
      </c>
      <c r="F50" s="89" t="str">
        <f>IF($A49="S770",40,IF(ISBLANK($A50),"",IF($B50="Invalid SKU Number","",VLOOKUP($A50,'Price List 18 October 2012'!$A$22:$P$246,6,FALSE))))</f>
        <v/>
      </c>
      <c r="G50" s="88" t="str">
        <f t="shared" si="1"/>
        <v/>
      </c>
      <c r="H50" s="90" t="str">
        <f t="shared" si="0"/>
        <v/>
      </c>
      <c r="I50" s="19">
        <f>IF($A49="S770",$H50,IF(ISBLANK($A50),0,VLOOKUP($A50,'Price List 18 October 2012'!$A$22:$P$493,6,FALSE)*$B50))</f>
        <v>0</v>
      </c>
      <c r="J50" s="19">
        <f>IF($A49="S770",$H50,IF(ISBLANK($A50),0,VLOOKUP($A50,'Price List 18 October 2012'!$A$22:$P$493,5,FALSE)*$B50))</f>
        <v>0</v>
      </c>
      <c r="K50" s="19">
        <f>IF($A49="S770",0,IF(ISBLANK($A50),0,IF($A50="S816",$J50*$K$28,IF(VLOOKUP($A50,'Price List 18 October 2012'!$A$19:$P$493,7,FALSE)="P",$K$28*$I50,IF(VLOOKUP($A50,'Price List 18 October 2012'!$A$19:$GH$493,7,FALSE)="L",0,IF(VLOOKUP($A50,'Price List 18 October 2012'!$A$22:$P$493,7,FALSE)="A",$K$28*I50))))))</f>
        <v>0</v>
      </c>
      <c r="L50" s="19">
        <f>IF($A49="S770",0,IF(ISBLANK($A50),0,IF(VLOOKUP($A50,'Price List 18 October 2012'!$A$22:$P$493,7,FALSE)="p",$L$28*$J50,IF(VLOOKUP($A50,'Price List 18 October 2012'!$A$22:$P$493,7,FALSE)="L",0,IF(VLOOKUP($A50,'Price List 18 October 2012'!$A$22:$P$493,7,FALSE)="a",0)))))</f>
        <v>0</v>
      </c>
    </row>
    <row r="51" spans="1:12" s="18" customFormat="1">
      <c r="A51" s="16"/>
      <c r="B51" s="17"/>
      <c r="C51" s="554" t="str">
        <f>IF(ISBLANK(A51),"",IF(ISERROR(VLOOKUP($A51,'Price List 18 October 2012'!$A$5:$P$246,1,FALSE)),"Invalid SKU Number",VLOOKUP($A51,'Price List 18 October 2012'!$A$21:$P$246,2,FALSE)))</f>
        <v/>
      </c>
      <c r="D51" s="555"/>
      <c r="E51" s="88" t="str">
        <f>IF(ISBLANK($A51),"",IF($B51="Invalid SKU Number","",VLOOKUP($A51,'Price List 18 October 2012'!$A$22:$P$246,4,FALSE)))</f>
        <v/>
      </c>
      <c r="F51" s="89" t="str">
        <f>IF($A50="S770",40,IF(ISBLANK($A51),"",IF($B51="Invalid SKU Number","",VLOOKUP($A51,'Price List 18 October 2012'!$A$22:$P$246,6,FALSE))))</f>
        <v/>
      </c>
      <c r="G51" s="88" t="str">
        <f t="shared" si="1"/>
        <v/>
      </c>
      <c r="H51" s="90" t="str">
        <f t="shared" si="0"/>
        <v/>
      </c>
      <c r="I51" s="19">
        <f>IF($A50="S770",$H51,IF(ISBLANK($A51),0,VLOOKUP($A51,'Price List 18 October 2012'!$A$22:$P$493,6,FALSE)*$B51))</f>
        <v>0</v>
      </c>
      <c r="J51" s="19">
        <f>IF($A50="S770",$H51,IF(ISBLANK($A51),0,VLOOKUP($A51,'Price List 18 October 2012'!$A$22:$P$493,5,FALSE)*$B51))</f>
        <v>0</v>
      </c>
      <c r="K51" s="19">
        <f>IF($A50="S770",0,IF(ISBLANK($A51),0,IF($A51="S816",$J51*$K$28,IF(VLOOKUP($A51,'Price List 18 October 2012'!$A$19:$P$493,7,FALSE)="P",$K$28*$I51,IF(VLOOKUP($A51,'Price List 18 October 2012'!$A$19:$GH$493,7,FALSE)="L",0,IF(VLOOKUP($A51,'Price List 18 October 2012'!$A$22:$P$493,7,FALSE)="A",$K$28*I51))))))</f>
        <v>0</v>
      </c>
      <c r="L51" s="19">
        <f>IF($A50="S770",0,IF(ISBLANK($A51),0,IF(VLOOKUP($A51,'Price List 18 October 2012'!$A$22:$P$493,7,FALSE)="p",$L$28*$J51,IF(VLOOKUP($A51,'Price List 18 October 2012'!$A$22:$P$493,7,FALSE)="L",0,IF(VLOOKUP($A51,'Price List 18 October 2012'!$A$22:$P$493,7,FALSE)="a",0)))))</f>
        <v>0</v>
      </c>
    </row>
    <row r="52" spans="1:12" s="18" customFormat="1">
      <c r="A52" s="16"/>
      <c r="B52" s="17"/>
      <c r="C52" s="554" t="str">
        <f>IF(ISBLANK(A52),"",IF(ISERROR(VLOOKUP($A52,'Price List 18 October 2012'!$A$5:$P$246,1,FALSE)),"Invalid SKU Number",VLOOKUP($A52,'Price List 18 October 2012'!$A$21:$P$246,2,FALSE)))</f>
        <v/>
      </c>
      <c r="D52" s="555"/>
      <c r="E52" s="88" t="str">
        <f>IF(ISBLANK($A52),"",IF($B52="Invalid SKU Number","",VLOOKUP($A52,'Price List 18 October 2012'!$A$22:$P$246,4,FALSE)))</f>
        <v/>
      </c>
      <c r="F52" s="89" t="str">
        <f>IF($A51="S770",40,IF(ISBLANK($A52),"",IF($B52="Invalid SKU Number","",VLOOKUP($A52,'Price List 18 October 2012'!$A$22:$P$246,6,FALSE))))</f>
        <v/>
      </c>
      <c r="G52" s="88" t="str">
        <f t="shared" si="1"/>
        <v/>
      </c>
      <c r="H52" s="90" t="str">
        <f t="shared" si="0"/>
        <v/>
      </c>
      <c r="I52" s="19">
        <f>IF($A51="S770",$H52,IF(ISBLANK($A52),0,VLOOKUP($A52,'Price List 18 October 2012'!$A$22:$P$493,6,FALSE)*$B52))</f>
        <v>0</v>
      </c>
      <c r="J52" s="19">
        <f>IF($A51="S770",$H52,IF(ISBLANK($A52),0,VLOOKUP($A52,'Price List 18 October 2012'!$A$22:$P$493,5,FALSE)*$B52))</f>
        <v>0</v>
      </c>
      <c r="K52" s="19">
        <f>IF($A51="S770",0,IF(ISBLANK($A52),0,IF($A52="S816",$J52*$K$28,IF(VLOOKUP($A52,'Price List 18 October 2012'!$A$19:$P$493,7,FALSE)="P",$K$28*$I52,IF(VLOOKUP($A52,'Price List 18 October 2012'!$A$19:$GH$493,7,FALSE)="L",0,IF(VLOOKUP($A52,'Price List 18 October 2012'!$A$22:$P$493,7,FALSE)="A",$K$28*I52))))))</f>
        <v>0</v>
      </c>
      <c r="L52" s="19">
        <f>IF($A51="S770",0,IF(ISBLANK($A52),0,IF(VLOOKUP($A52,'Price List 18 October 2012'!$A$22:$P$493,7,FALSE)="p",$L$28*$J52,IF(VLOOKUP($A52,'Price List 18 October 2012'!$A$22:$P$493,7,FALSE)="L",0,IF(VLOOKUP($A52,'Price List 18 October 2012'!$A$22:$P$493,7,FALSE)="a",0)))))</f>
        <v>0</v>
      </c>
    </row>
    <row r="53" spans="1:12" s="18" customFormat="1">
      <c r="A53" s="16"/>
      <c r="B53" s="17"/>
      <c r="C53" s="554" t="str">
        <f>IF(ISBLANK(A53),"",IF(ISERROR(VLOOKUP($A53,'Price List 18 October 2012'!$A$5:$P$246,1,FALSE)),"Invalid SKU Number",VLOOKUP($A53,'Price List 18 October 2012'!$A$21:$P$246,2,FALSE)))</f>
        <v/>
      </c>
      <c r="D53" s="555"/>
      <c r="E53" s="88" t="str">
        <f>IF(ISBLANK($A53),"",IF($B53="Invalid SKU Number","",VLOOKUP($A53,'Price List 18 October 2012'!$A$22:$P$246,4,FALSE)))</f>
        <v/>
      </c>
      <c r="F53" s="89" t="str">
        <f>IF($A52="S770",40,IF(ISBLANK($A53),"",IF($B53="Invalid SKU Number","",VLOOKUP($A53,'Price List 18 October 2012'!$A$22:$P$246,6,FALSE))))</f>
        <v/>
      </c>
      <c r="G53" s="88" t="str">
        <f t="shared" si="1"/>
        <v/>
      </c>
      <c r="H53" s="90" t="str">
        <f t="shared" si="0"/>
        <v/>
      </c>
      <c r="I53" s="19">
        <f>IF($A52="S770",$H53,IF(ISBLANK($A53),0,VLOOKUP($A53,'Price List 18 October 2012'!$A$22:$P$493,6,FALSE)*$B53))</f>
        <v>0</v>
      </c>
      <c r="J53" s="19">
        <f>IF($A52="S770",$H53,IF(ISBLANK($A53),0,VLOOKUP($A53,'Price List 18 October 2012'!$A$22:$P$493,5,FALSE)*$B53))</f>
        <v>0</v>
      </c>
      <c r="K53" s="19">
        <f>IF($A52="S770",0,IF(ISBLANK($A53),0,IF($A53="S816",$J53*$K$28,IF(VLOOKUP($A53,'Price List 18 October 2012'!$A$19:$P$493,7,FALSE)="P",$K$28*$I53,IF(VLOOKUP($A53,'Price List 18 October 2012'!$A$19:$GH$493,7,FALSE)="L",0,IF(VLOOKUP($A53,'Price List 18 October 2012'!$A$22:$P$493,7,FALSE)="A",$K$28*I53))))))</f>
        <v>0</v>
      </c>
      <c r="L53" s="19">
        <f>IF($A52="S770",0,IF(ISBLANK($A53),0,IF(VLOOKUP($A53,'Price List 18 October 2012'!$A$22:$P$493,7,FALSE)="p",$L$28*$J53,IF(VLOOKUP($A53,'Price List 18 October 2012'!$A$22:$P$493,7,FALSE)="L",0,IF(VLOOKUP($A53,'Price List 18 October 2012'!$A$22:$P$493,7,FALSE)="a",0)))))</f>
        <v>0</v>
      </c>
    </row>
    <row r="54" spans="1:12" s="18" customFormat="1">
      <c r="A54" s="16"/>
      <c r="B54" s="17"/>
      <c r="C54" s="554" t="str">
        <f>IF(ISBLANK(A54),"",IF(ISERROR(VLOOKUP($A54,'Price List 18 October 2012'!$A$5:$P$246,1,FALSE)),"Invalid SKU Number",VLOOKUP($A54,'Price List 18 October 2012'!$A$21:$P$246,2,FALSE)))</f>
        <v/>
      </c>
      <c r="D54" s="555"/>
      <c r="E54" s="88" t="str">
        <f>IF(ISBLANK($A54),"",IF($B54="Invalid SKU Number","",VLOOKUP($A54,'Price List 18 October 2012'!$A$22:$P$246,4,FALSE)))</f>
        <v/>
      </c>
      <c r="F54" s="89" t="str">
        <f>IF($A53="S770",40,IF(ISBLANK($A54),"",IF($B54="Invalid SKU Number","",VLOOKUP($A54,'Price List 18 October 2012'!$A$22:$P$246,6,FALSE))))</f>
        <v/>
      </c>
      <c r="G54" s="88" t="str">
        <f t="shared" si="1"/>
        <v/>
      </c>
      <c r="H54" s="90" t="str">
        <f t="shared" si="0"/>
        <v/>
      </c>
      <c r="I54" s="19">
        <f>IF($A53="S770",$H54,IF(ISBLANK($A54),0,VLOOKUP($A54,'Price List 18 October 2012'!$A$22:$P$493,6,FALSE)*$B54))</f>
        <v>0</v>
      </c>
      <c r="J54" s="19">
        <f>IF($A53="S770",$H54,IF(ISBLANK($A54),0,VLOOKUP($A54,'Price List 18 October 2012'!$A$22:$P$493,5,FALSE)*$B54))</f>
        <v>0</v>
      </c>
      <c r="K54" s="19">
        <f>IF($A53="S770",0,IF(ISBLANK($A54),0,IF($A54="S816",$J54*$K$28,IF(VLOOKUP($A54,'Price List 18 October 2012'!$A$19:$P$493,7,FALSE)="P",$K$28*$I54,IF(VLOOKUP($A54,'Price List 18 October 2012'!$A$19:$GH$493,7,FALSE)="L",0,IF(VLOOKUP($A54,'Price List 18 October 2012'!$A$22:$P$493,7,FALSE)="A",$K$28*I54))))))</f>
        <v>0</v>
      </c>
      <c r="L54" s="19">
        <f>IF($A53="S770",0,IF(ISBLANK($A54),0,IF(VLOOKUP($A54,'Price List 18 October 2012'!$A$22:$P$493,7,FALSE)="p",$L$28*$J54,IF(VLOOKUP($A54,'Price List 18 October 2012'!$A$22:$P$493,7,FALSE)="L",0,IF(VLOOKUP($A54,'Price List 18 October 2012'!$A$22:$P$493,7,FALSE)="a",0)))))</f>
        <v>0</v>
      </c>
    </row>
    <row r="55" spans="1:12" s="18" customFormat="1">
      <c r="A55" s="16"/>
      <c r="B55" s="17"/>
      <c r="C55" s="554" t="str">
        <f>IF(ISBLANK(A55),"",IF(ISERROR(VLOOKUP($A55,'Price List 18 October 2012'!$A$5:$P$246,1,FALSE)),"Invalid SKU Number",VLOOKUP($A55,'Price List 18 October 2012'!$A$21:$P$246,2,FALSE)))</f>
        <v/>
      </c>
      <c r="D55" s="555"/>
      <c r="E55" s="88" t="str">
        <f>IF(ISBLANK($A55),"",IF($B55="Invalid SKU Number","",VLOOKUP($A55,'Price List 18 October 2012'!$A$22:$P$246,4,FALSE)))</f>
        <v/>
      </c>
      <c r="F55" s="89" t="str">
        <f>IF($A54="S770",40,IF(ISBLANK($A55),"",IF($B55="Invalid SKU Number","",VLOOKUP($A55,'Price List 18 October 2012'!$A$22:$P$246,6,FALSE))))</f>
        <v/>
      </c>
      <c r="G55" s="88" t="str">
        <f t="shared" si="1"/>
        <v/>
      </c>
      <c r="H55" s="90" t="str">
        <f t="shared" si="0"/>
        <v/>
      </c>
      <c r="I55" s="19">
        <f>IF($A54="S770",$H55,IF(ISBLANK($A55),0,VLOOKUP($A55,'Price List 18 October 2012'!$A$22:$P$493,6,FALSE)*$B55))</f>
        <v>0</v>
      </c>
      <c r="J55" s="19">
        <f>IF($A54="S770",$H55,IF(ISBLANK($A55),0,VLOOKUP($A55,'Price List 18 October 2012'!$A$22:$P$493,5,FALSE)*$B55))</f>
        <v>0</v>
      </c>
      <c r="K55" s="19">
        <f>IF($A54="S770",0,IF(ISBLANK($A55),0,IF($A55="S816",$J55*$K$28,IF(VLOOKUP($A55,'Price List 18 October 2012'!$A$19:$P$493,7,FALSE)="P",$K$28*$I55,IF(VLOOKUP($A55,'Price List 18 October 2012'!$A$19:$GH$493,7,FALSE)="L",0,IF(VLOOKUP($A55,'Price List 18 October 2012'!$A$22:$P$493,7,FALSE)="A",$K$28*I55))))))</f>
        <v>0</v>
      </c>
      <c r="L55" s="19">
        <f>IF($A54="S770",0,IF(ISBLANK($A55),0,IF(VLOOKUP($A55,'Price List 18 October 2012'!$A$22:$P$493,7,FALSE)="p",$L$28*$J55,IF(VLOOKUP($A55,'Price List 18 October 2012'!$A$22:$P$493,7,FALSE)="L",0,IF(VLOOKUP($A55,'Price List 18 October 2012'!$A$22:$P$493,7,FALSE)="a",0)))))</f>
        <v>0</v>
      </c>
    </row>
    <row r="56" spans="1:12" s="18" customFormat="1">
      <c r="A56" s="16"/>
      <c r="B56" s="17"/>
      <c r="C56" s="554" t="str">
        <f>IF(ISBLANK(A56),"",IF(ISERROR(VLOOKUP($A56,'Price List 18 October 2012'!$A$5:$P$246,1,FALSE)),"Invalid SKU Number",VLOOKUP($A56,'Price List 18 October 2012'!$A$21:$P$246,2,FALSE)))</f>
        <v/>
      </c>
      <c r="D56" s="555"/>
      <c r="E56" s="88" t="str">
        <f>IF(ISBLANK($A56),"",IF($B56="Invalid SKU Number","",VLOOKUP($A56,'Price List 18 October 2012'!$A$22:$P$246,4,FALSE)))</f>
        <v/>
      </c>
      <c r="F56" s="89" t="str">
        <f>IF($A55="S770",40,IF(ISBLANK($A56),"",IF($B56="Invalid SKU Number","",VLOOKUP($A56,'Price List 18 October 2012'!$A$22:$P$246,6,FALSE))))</f>
        <v/>
      </c>
      <c r="G56" s="88" t="str">
        <f t="shared" si="1"/>
        <v/>
      </c>
      <c r="H56" s="90" t="str">
        <f t="shared" si="0"/>
        <v/>
      </c>
      <c r="I56" s="19">
        <f>IF($A55="S770",$H56,IF(ISBLANK($A56),0,VLOOKUP($A56,'Price List 18 October 2012'!$A$22:$P$493,6,FALSE)*$B56))</f>
        <v>0</v>
      </c>
      <c r="J56" s="19">
        <f>IF($A55="S770",$H56,IF(ISBLANK($A56),0,VLOOKUP($A56,'Price List 18 October 2012'!$A$22:$P$493,5,FALSE)*$B56))</f>
        <v>0</v>
      </c>
      <c r="K56" s="19">
        <f>IF($A55="S770",0,IF(ISBLANK($A56),0,IF($A56="S816",$J56*$K$28,IF(VLOOKUP($A56,'Price List 18 October 2012'!$A$19:$P$493,7,FALSE)="P",$K$28*$I56,IF(VLOOKUP($A56,'Price List 18 October 2012'!$A$19:$GH$493,7,FALSE)="L",0,IF(VLOOKUP($A56,'Price List 18 October 2012'!$A$22:$P$493,7,FALSE)="A",$K$28*I56))))))</f>
        <v>0</v>
      </c>
      <c r="L56" s="19">
        <f>IF($A55="S770",0,IF(ISBLANK($A56),0,IF(VLOOKUP($A56,'Price List 18 October 2012'!$A$22:$P$493,7,FALSE)="p",$L$28*$J56,IF(VLOOKUP($A56,'Price List 18 October 2012'!$A$22:$P$493,7,FALSE)="L",0,IF(VLOOKUP($A56,'Price List 18 October 2012'!$A$22:$P$493,7,FALSE)="a",0)))))</f>
        <v>0</v>
      </c>
    </row>
    <row r="57" spans="1:12" s="18" customFormat="1">
      <c r="A57" s="16"/>
      <c r="B57" s="17"/>
      <c r="C57" s="554" t="str">
        <f>IF(ISBLANK(A57),"",IF(ISERROR(VLOOKUP($A57,'Price List 18 October 2012'!$A$5:$P$246,1,FALSE)),"Invalid SKU Number",VLOOKUP($A57,'Price List 18 October 2012'!$A$21:$P$246,2,FALSE)))</f>
        <v/>
      </c>
      <c r="D57" s="555"/>
      <c r="E57" s="88" t="str">
        <f>IF(ISBLANK($A57),"",IF($B57="Invalid SKU Number","",VLOOKUP($A57,'Price List 18 October 2012'!$A$22:$P$246,4,FALSE)))</f>
        <v/>
      </c>
      <c r="F57" s="89" t="str">
        <f>IF($A56="S770",40,IF(ISBLANK($A57),"",IF($B57="Invalid SKU Number","",VLOOKUP($A57,'Price List 18 October 2012'!$A$22:$P$246,6,FALSE))))</f>
        <v/>
      </c>
      <c r="G57" s="88" t="str">
        <f t="shared" si="1"/>
        <v/>
      </c>
      <c r="H57" s="90" t="str">
        <f t="shared" si="0"/>
        <v/>
      </c>
      <c r="I57" s="19">
        <f>IF($A56="S770",$H57,IF(ISBLANK($A57),0,VLOOKUP($A57,'Price List 18 October 2012'!$A$22:$P$493,6,FALSE)*$B57))</f>
        <v>0</v>
      </c>
      <c r="J57" s="19">
        <f>IF($A56="S770",$H57,IF(ISBLANK($A57),0,VLOOKUP($A57,'Price List 18 October 2012'!$A$22:$P$493,5,FALSE)*$B57))</f>
        <v>0</v>
      </c>
      <c r="K57" s="19">
        <f>IF($A56="S770",0,IF(ISBLANK($A57),0,IF($A57="S816",$J57*$K$28,IF(VLOOKUP($A57,'Price List 18 October 2012'!$A$19:$P$493,7,FALSE)="P",$K$28*$I57,IF(VLOOKUP($A57,'Price List 18 October 2012'!$A$19:$GH$493,7,FALSE)="L",0,IF(VLOOKUP($A57,'Price List 18 October 2012'!$A$22:$P$493,7,FALSE)="A",$K$28*I57))))))</f>
        <v>0</v>
      </c>
      <c r="L57" s="19">
        <f>IF($A56="S770",0,IF(ISBLANK($A57),0,IF(VLOOKUP($A57,'Price List 18 October 2012'!$A$22:$P$493,7,FALSE)="p",$L$28*$J57,IF(VLOOKUP($A57,'Price List 18 October 2012'!$A$22:$P$493,7,FALSE)="L",0,IF(VLOOKUP($A57,'Price List 18 October 2012'!$A$22:$P$493,7,FALSE)="a",0)))))</f>
        <v>0</v>
      </c>
    </row>
    <row r="58" spans="1:12" s="18" customFormat="1">
      <c r="A58" s="16"/>
      <c r="B58" s="17"/>
      <c r="C58" s="554" t="str">
        <f>IF(ISBLANK(A58),"",IF(ISERROR(VLOOKUP($A58,'Price List 18 October 2012'!$A$5:$P$246,1,FALSE)),"Invalid SKU Number",VLOOKUP($A58,'Price List 18 October 2012'!$A$21:$P$246,2,FALSE)))</f>
        <v/>
      </c>
      <c r="D58" s="555"/>
      <c r="E58" s="88" t="str">
        <f>IF(ISBLANK($A58),"",IF($B58="Invalid SKU Number","",VLOOKUP($A58,'Price List 18 October 2012'!$A$22:$P$246,4,FALSE)))</f>
        <v/>
      </c>
      <c r="F58" s="89" t="str">
        <f>IF($A57="S770",40,IF(ISBLANK($A58),"",IF($B58="Invalid SKU Number","",VLOOKUP($A58,'Price List 18 October 2012'!$A$22:$P$246,6,FALSE))))</f>
        <v/>
      </c>
      <c r="G58" s="88" t="str">
        <f t="shared" si="1"/>
        <v/>
      </c>
      <c r="H58" s="90" t="str">
        <f t="shared" si="0"/>
        <v/>
      </c>
      <c r="I58" s="19">
        <f>IF($A57="S770",$H58,IF(ISBLANK($A58),0,VLOOKUP($A58,'Price List 18 October 2012'!$A$22:$P$493,6,FALSE)*$B58))</f>
        <v>0</v>
      </c>
      <c r="J58" s="19">
        <f>IF($A57="S770",$H58,IF(ISBLANK($A58),0,VLOOKUP($A58,'Price List 18 October 2012'!$A$22:$P$493,5,FALSE)*$B58))</f>
        <v>0</v>
      </c>
      <c r="K58" s="19">
        <f>IF($A57="S770",0,IF(ISBLANK($A58),0,IF($A58="S816",$J58*$K$28,IF(VLOOKUP($A58,'Price List 18 October 2012'!$A$19:$P$493,7,FALSE)="P",$K$28*$I58,IF(VLOOKUP($A58,'Price List 18 October 2012'!$A$19:$GH$493,7,FALSE)="L",0,IF(VLOOKUP($A58,'Price List 18 October 2012'!$A$22:$P$493,7,FALSE)="A",$K$28*I58))))))</f>
        <v>0</v>
      </c>
      <c r="L58" s="19">
        <f>IF($A57="S770",0,IF(ISBLANK($A58),0,IF(VLOOKUP($A58,'Price List 18 October 2012'!$A$22:$P$493,7,FALSE)="p",$L$28*$J58,IF(VLOOKUP($A58,'Price List 18 October 2012'!$A$22:$P$493,7,FALSE)="L",0,IF(VLOOKUP($A58,'Price List 18 October 2012'!$A$22:$P$493,7,FALSE)="a",0)))))</f>
        <v>0</v>
      </c>
    </row>
    <row r="59" spans="1:12" s="18" customFormat="1">
      <c r="A59" s="16"/>
      <c r="B59" s="16"/>
      <c r="C59" s="554" t="str">
        <f>IF(ISBLANK(A59),"",IF(ISERROR(VLOOKUP($A59,'Price List 18 October 2012'!$A$5:$P$246,1,FALSE)),"Invalid SKU Number",VLOOKUP($A59,'Price List 18 October 2012'!$A$21:$P$246,2,FALSE)))</f>
        <v/>
      </c>
      <c r="D59" s="555"/>
      <c r="E59" s="88" t="str">
        <f>IF(ISBLANK($A59),"",IF($B59="Invalid SKU Number","",VLOOKUP($A59,'Price List 18 October 2012'!$A$22:$P$246,4,FALSE)))</f>
        <v/>
      </c>
      <c r="F59" s="89" t="str">
        <f>IF($A58="S770",40,IF(ISBLANK($A59),"",IF($B59="Invalid SKU Number","",VLOOKUP($A59,'Price List 18 October 2012'!$A$22:$P$246,6,FALSE))))</f>
        <v/>
      </c>
      <c r="G59" s="88" t="str">
        <f>IF($A58="S770",$B59*$E59,IF(ISBLANK($A59),"",IF($B59="Invalid SKU Number","",$B59*$E59)))</f>
        <v/>
      </c>
      <c r="H59" s="90" t="str">
        <f>IF($A58="S770",$B58*$F59,IF(ISBLANK($A59),"",IF($B59="Invalid SKU Number","",$B59*$F59)))</f>
        <v/>
      </c>
      <c r="I59" s="19">
        <f>IF($A58="S770",$H59,IF(ISBLANK($A59),0,VLOOKUP($A59,'Price List 18 October 2012'!$A$22:$P$493,6,FALSE)*$B59))</f>
        <v>0</v>
      </c>
      <c r="J59" s="19">
        <f>IF($A58="S770",$H59,IF(ISBLANK($A59),0,VLOOKUP($A59,'Price List 18 October 2012'!$A$22:$P$493,5,FALSE)*$B59))</f>
        <v>0</v>
      </c>
      <c r="K59" s="19">
        <f>IF($A58="S770",0,IF(ISBLANK($A59),0,IF($A59="S816",$J59*$K$28,IF(VLOOKUP($A59,'Price List 18 October 2012'!$A$19:$P$493,7,FALSE)="P",$K$28*$I59,IF(VLOOKUP($A59,'Price List 18 October 2012'!$A$19:$GH$493,7,FALSE)="L",0,IF(VLOOKUP($A59,'Price List 18 October 2012'!$A$22:$P$493,7,FALSE)="A",$K$28*I59))))))</f>
        <v>0</v>
      </c>
      <c r="L59" s="19">
        <f>IF($A58="S770",0,IF(ISBLANK($A59),0,IF(VLOOKUP($A59,'Price List 18 October 2012'!$A$22:$P$493,7,FALSE)="p",$L$28*$J59,IF(VLOOKUP($A59,'Price List 18 October 2012'!$A$22:$P$493,7,FALSE)="L",0,IF(VLOOKUP($A59,'Price List 18 October 2012'!$A$22:$P$493,7,FALSE)="a",0)))))</f>
        <v>0</v>
      </c>
    </row>
    <row r="60" spans="1:12">
      <c r="E60" s="13"/>
      <c r="F60" s="8" t="s">
        <v>6</v>
      </c>
      <c r="G60" s="373">
        <f>SUM(G30:G59)</f>
        <v>220.8</v>
      </c>
      <c r="H60" s="374">
        <f>SUM(H30:H59)</f>
        <v>2629.33</v>
      </c>
      <c r="I60" s="1">
        <f>SUM(I29:I59)</f>
        <v>2629.33</v>
      </c>
      <c r="J60" s="1">
        <f>SUM(J29:J59)</f>
        <v>2629.33</v>
      </c>
      <c r="K60" s="1">
        <f>SUM(K29:K59)</f>
        <v>184.05310000000003</v>
      </c>
      <c r="L60" s="1">
        <f>SUM(L29:L59)</f>
        <v>1314.665</v>
      </c>
    </row>
    <row r="61" spans="1:12" ht="15" thickBot="1">
      <c r="G61" s="14"/>
      <c r="H61" s="14"/>
    </row>
    <row r="62" spans="1:12">
      <c r="F62" s="91"/>
      <c r="G62" s="92" t="s">
        <v>40</v>
      </c>
      <c r="H62" s="93">
        <f>L60</f>
        <v>1314.665</v>
      </c>
    </row>
    <row r="63" spans="1:12" ht="15" thickBot="1">
      <c r="F63" s="94"/>
      <c r="G63" s="95"/>
      <c r="H63" s="96"/>
    </row>
    <row r="64" spans="1:12" ht="15" thickBot="1">
      <c r="A64" s="375" t="s">
        <v>310</v>
      </c>
      <c r="B64" s="376"/>
      <c r="C64" s="377"/>
      <c r="F64" s="94"/>
      <c r="G64" s="97" t="s">
        <v>41</v>
      </c>
      <c r="H64" s="98">
        <f>H60-H62</f>
        <v>1314.665</v>
      </c>
    </row>
    <row r="65" spans="6:12">
      <c r="F65" s="94"/>
      <c r="G65" s="95"/>
      <c r="H65" s="96"/>
    </row>
    <row r="66" spans="6:12">
      <c r="F66" s="94"/>
      <c r="G66" s="97" t="s">
        <v>42</v>
      </c>
      <c r="H66" s="96">
        <f>ROUND(K60,2)</f>
        <v>184.05</v>
      </c>
    </row>
    <row r="67" spans="6:12">
      <c r="F67" s="94"/>
      <c r="G67" s="95"/>
      <c r="H67" s="96"/>
    </row>
    <row r="68" spans="6:12">
      <c r="F68" s="94"/>
      <c r="G68" s="97" t="s">
        <v>213</v>
      </c>
      <c r="H68" s="96">
        <f>J68</f>
        <v>26.293299999999999</v>
      </c>
      <c r="J68" s="87">
        <f>IF($J$15=2,1%*$I$60,IF($I$60&lt;1715,60,IF($I$60&lt;2500,3.5%*$I$60,IF($I$60&lt;5000,3%*$I$60,IF($I$60&lt;10000,2.5%*$I$60,2.25%*$I$60)))))</f>
        <v>26.293299999999999</v>
      </c>
      <c r="L68" s="86">
        <f>J68/I60</f>
        <v>0.01</v>
      </c>
    </row>
    <row r="69" spans="6:12">
      <c r="F69" s="94"/>
      <c r="G69" s="95"/>
      <c r="H69" s="96"/>
      <c r="J69" s="87">
        <f>IF($J$15=2,0.5%*$I$60,IF($I$60&lt;1715,45,IF($I$60&lt;2500,2.25%*$I$60,IF($I$60&lt;5000,1.75%*$I$60,IF($I$60&lt;10000,1.25%*$I$60,1%*$I$60)))))</f>
        <v>13.146649999999999</v>
      </c>
      <c r="L69" s="86">
        <f>J69/I60</f>
        <v>5.0000000000000001E-3</v>
      </c>
    </row>
    <row r="70" spans="6:12">
      <c r="F70" s="94"/>
      <c r="G70" s="95" t="s">
        <v>214</v>
      </c>
      <c r="H70" s="96">
        <f>0.01*H60</f>
        <v>26.293299999999999</v>
      </c>
    </row>
    <row r="71" spans="6:12" ht="15" thickBot="1">
      <c r="F71" s="94"/>
      <c r="G71" s="95"/>
      <c r="H71" s="96"/>
    </row>
    <row r="72" spans="6:12">
      <c r="F72" s="94"/>
      <c r="G72" s="97" t="s">
        <v>215</v>
      </c>
      <c r="H72" s="98">
        <f>H64+H66+H68+H70</f>
        <v>1551.3016</v>
      </c>
    </row>
    <row r="73" spans="6:12">
      <c r="F73" s="94"/>
      <c r="G73" s="95"/>
      <c r="H73" s="96"/>
    </row>
    <row r="74" spans="6:12">
      <c r="F74" s="94"/>
      <c r="G74" s="97" t="s">
        <v>216</v>
      </c>
      <c r="H74" s="96">
        <f>IF(F21="South Africa",14%*H72,IF(F21="Namibia",0,IF(F21="Lesotho",H72*14%,IF(F21="Swaziland",H72*12%,IF(F21="Botswana",H72*10%)))))</f>
        <v>217.18222400000002</v>
      </c>
    </row>
    <row r="75" spans="6:12" ht="15" thickBot="1">
      <c r="F75" s="94"/>
      <c r="G75" s="95"/>
      <c r="H75" s="96"/>
    </row>
    <row r="76" spans="6:12" ht="15" thickBot="1">
      <c r="F76" s="94"/>
      <c r="G76" s="378" t="s">
        <v>43</v>
      </c>
      <c r="H76" s="379">
        <f>H74+H72</f>
        <v>1768.4838239999999</v>
      </c>
    </row>
    <row r="77" spans="6:12" ht="15" thickTop="1">
      <c r="F77" s="94"/>
      <c r="G77" s="97"/>
      <c r="H77" s="99"/>
    </row>
    <row r="78" spans="6:12">
      <c r="F78" s="94"/>
      <c r="G78" s="97"/>
      <c r="H78" s="99"/>
    </row>
    <row r="79" spans="6:12" ht="16.5">
      <c r="F79" s="109"/>
      <c r="G79" s="108" t="s">
        <v>237</v>
      </c>
      <c r="H79" s="110">
        <f>(H64+H66+J69+H70)*1.14</f>
        <v>1753.4966429999997</v>
      </c>
    </row>
    <row r="80" spans="6:12">
      <c r="F80" s="94"/>
      <c r="G80" s="97"/>
      <c r="H80" s="96"/>
    </row>
    <row r="81" spans="6:8" ht="15" thickBot="1">
      <c r="F81" s="100"/>
      <c r="G81" s="101"/>
      <c r="H81" s="102"/>
    </row>
  </sheetData>
  <sheetProtection password="D9BF" sheet="1"/>
  <dataConsolidate/>
  <mergeCells count="66">
    <mergeCell ref="A1:H1"/>
    <mergeCell ref="A2:H2"/>
    <mergeCell ref="A3:H3"/>
    <mergeCell ref="D14:E16"/>
    <mergeCell ref="A14:C16"/>
    <mergeCell ref="A8:H8"/>
    <mergeCell ref="A9:H9"/>
    <mergeCell ref="A13:B13"/>
    <mergeCell ref="D13:H13"/>
    <mergeCell ref="F16:H16"/>
    <mergeCell ref="F17:H17"/>
    <mergeCell ref="F18:H20"/>
    <mergeCell ref="D18:E20"/>
    <mergeCell ref="A24:C24"/>
    <mergeCell ref="D24:E24"/>
    <mergeCell ref="F23:H23"/>
    <mergeCell ref="D22:H22"/>
    <mergeCell ref="A26:B26"/>
    <mergeCell ref="D26:E26"/>
    <mergeCell ref="A25:B25"/>
    <mergeCell ref="D25:E25"/>
    <mergeCell ref="A19:B19"/>
    <mergeCell ref="D17:E17"/>
    <mergeCell ref="D27:E27"/>
    <mergeCell ref="C31:D31"/>
    <mergeCell ref="C29:D29"/>
    <mergeCell ref="C32:D32"/>
    <mergeCell ref="A28:H28"/>
    <mergeCell ref="A27:B27"/>
    <mergeCell ref="C30:D30"/>
    <mergeCell ref="F25:H25"/>
    <mergeCell ref="A21:C21"/>
    <mergeCell ref="A22:B22"/>
    <mergeCell ref="A18:B18"/>
    <mergeCell ref="D21:E21"/>
    <mergeCell ref="F21:H21"/>
    <mergeCell ref="D23:E23"/>
    <mergeCell ref="A20:B20"/>
    <mergeCell ref="F24:H24"/>
    <mergeCell ref="C53:D53"/>
    <mergeCell ref="C51:D51"/>
    <mergeCell ref="C52:D52"/>
    <mergeCell ref="C38:D38"/>
    <mergeCell ref="C43:D43"/>
    <mergeCell ref="C46:D46"/>
    <mergeCell ref="C45:D45"/>
    <mergeCell ref="C59:D59"/>
    <mergeCell ref="C47:D47"/>
    <mergeCell ref="C58:D58"/>
    <mergeCell ref="C55:D55"/>
    <mergeCell ref="C56:D56"/>
    <mergeCell ref="C57:D57"/>
    <mergeCell ref="C50:D50"/>
    <mergeCell ref="C54:D54"/>
    <mergeCell ref="C48:D48"/>
    <mergeCell ref="C49:D49"/>
    <mergeCell ref="C33:D33"/>
    <mergeCell ref="C36:D36"/>
    <mergeCell ref="C37:D37"/>
    <mergeCell ref="C44:D44"/>
    <mergeCell ref="C42:D42"/>
    <mergeCell ref="C40:D40"/>
    <mergeCell ref="C39:D39"/>
    <mergeCell ref="C41:D41"/>
    <mergeCell ref="C34:D34"/>
    <mergeCell ref="C35:D35"/>
  </mergeCells>
  <phoneticPr fontId="0" type="noConversion"/>
  <dataValidations count="2">
    <dataValidation type="list" allowBlank="1" showInputMessage="1" showErrorMessage="1" sqref="G15">
      <formula1>$J$4:$J$8</formula1>
    </dataValidation>
    <dataValidation type="list" allowBlank="1" showInputMessage="1" showErrorMessage="1" sqref="F27">
      <formula1>$J$10:$J$13</formula1>
    </dataValidation>
  </dataValidations>
  <printOptions horizontalCentered="1"/>
  <pageMargins left="0.74803149606299202" right="0.74803149606299202" top="0.98425196850393704" bottom="0.98425196850393704" header="0.511811023622047" footer="0.511811023622047"/>
  <pageSetup paperSize="9" scale="58" orientation="portrait" r:id="rId1"/>
  <headerFooter alignWithMargins="0"/>
  <ignoredErrors>
    <ignoredError sqref="F16:F17"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Price List 18 October 2012</vt:lpstr>
      <vt:lpstr>Order Form</vt:lpstr>
      <vt:lpstr>'Order Form'!Print_Area</vt:lpstr>
      <vt:lpstr>'Price List 18 October 2012'!Print_Area</vt:lpstr>
      <vt:lpstr>'Price List 18 October 2012'!Print_Titles</vt:lpstr>
      <vt:lpstr>walkincenters</vt:lpstr>
    </vt:vector>
  </TitlesOfParts>
  <Company>Herbalife International South Africa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Koppen</dc:creator>
  <cp:lastModifiedBy>Office</cp:lastModifiedBy>
  <cp:lastPrinted>2012-10-16T09:47:27Z</cp:lastPrinted>
  <dcterms:created xsi:type="dcterms:W3CDTF">2000-05-08T11:16:55Z</dcterms:created>
  <dcterms:modified xsi:type="dcterms:W3CDTF">2012-11-01T08:39:33Z</dcterms:modified>
</cp:coreProperties>
</file>